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harts/chart5.xml" ContentType="application/vnd.openxmlformats-officedocument.drawingml.chart+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mc:AlternateContent xmlns:mc="http://schemas.openxmlformats.org/markup-compatibility/2006">
    <mc:Choice Requires="x15">
      <x15ac:absPath xmlns:x15ac="http://schemas.microsoft.com/office/spreadsheetml/2010/11/ac" url="https://universitysystemnh-my.sharepoint.com/personal/smm1270_usnh_edu/Documents/3UCubed-A SEOPS documents/FCC Documents/"/>
    </mc:Choice>
  </mc:AlternateContent>
  <xr:revisionPtr revIDLastSave="5" documentId="8_{3DEC72BF-55B7-314B-A32C-0739383EB9B7}" xr6:coauthVersionLast="47" xr6:coauthVersionMax="47" xr10:uidLastSave="{56119FE2-44C6-DC4D-9339-B0EDAADA572F}"/>
  <bookViews>
    <workbookView xWindow="0" yWindow="0" windowWidth="28800" windowHeight="18000" firstSheet="5" activeTab="12" xr2:uid="{00000000-000D-0000-FFFF-FFFF00000000}"/>
  </bookViews>
  <sheets>
    <sheet name="Title Page" sheetId="4" r:id="rId1"/>
    <sheet name="I.I.R.R." sheetId="19" r:id="rId2"/>
    <sheet name="Orbit" sheetId="1" r:id="rId3"/>
    <sheet name="Frequency" sheetId="20" r:id="rId4"/>
    <sheet name="Transmitters" sheetId="14" r:id="rId5"/>
    <sheet name="Receivers" sheetId="15" r:id="rId6"/>
    <sheet name="Antenna Gain" sheetId="9" r:id="rId7"/>
    <sheet name="Antenna Pointing Losses" sheetId="12" r:id="rId8"/>
    <sheet name="Antenna Polarization Loss" sheetId="7" r:id="rId9"/>
    <sheet name="Atmos. &amp; Ionos. Losses" sheetId="8" r:id="rId10"/>
    <sheet name="Modulation-Demodulation Method" sheetId="6" r:id="rId11"/>
    <sheet name="Uplink Budget" sheetId="5" r:id="rId12"/>
    <sheet name="Downlink Budget" sheetId="3" r:id="rId13"/>
    <sheet name="System Peformance Summary" sheetId="16" r:id="rId14"/>
    <sheet name="Antenna Patterns" sheetId="13" r:id="rId15"/>
    <sheet name="Beam Roll-Off Tool" sheetId="10" r:id="rId16"/>
    <sheet name="Beam Roll-Off Plot" sheetId="11" r:id="rId17"/>
    <sheet name="Line Loss Tools &amp; Tables" sheetId="17" r:id="rId18"/>
    <sheet name="VSWR Loss Tool" sheetId="18" r:id="rId19"/>
    <sheet name="GEO Azimuth Calc Data" sheetId="21" r:id="rId20"/>
    <sheet name="Orbit Shape Data" sheetId="2" r:id="rId21"/>
  </sheets>
  <definedNames>
    <definedName name="boltzmann">1.38E-23</definedName>
    <definedName name="lightspeed">299792458</definedName>
    <definedName name="pathloss">20*LOG10(4*PI()*distance/wavelength)</definedName>
    <definedName name="r_1">'Antenna Polarization Loss'!$F$6</definedName>
    <definedName name="r_2">'Antenna Polarization Loss'!$F$8</definedName>
    <definedName name="theta">'Antenna Polarization Loss'!$F$10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5" l="1"/>
  <c r="J68" i="15" l="1"/>
  <c r="T139" i="15"/>
  <c r="T137" i="15"/>
  <c r="U59" i="15"/>
  <c r="H60" i="9" l="1"/>
  <c r="I71" i="14" l="1"/>
  <c r="J53" i="15"/>
  <c r="K95" i="12"/>
  <c r="B29" i="5"/>
  <c r="I35" i="14"/>
  <c r="N60" i="9"/>
  <c r="Q60" i="9" s="1"/>
  <c r="H13" i="9"/>
  <c r="U63" i="15" l="1"/>
  <c r="J134" i="15"/>
  <c r="T128" i="15"/>
  <c r="F35" i="7" l="1"/>
  <c r="F23" i="4" l="1"/>
  <c r="F2" i="5" s="1"/>
  <c r="N13" i="9"/>
  <c r="Q13" i="9" s="1"/>
  <c r="J63" i="15"/>
  <c r="I65" i="14" l="1"/>
  <c r="Q61" i="9" l="1"/>
  <c r="M16" i="20"/>
  <c r="J114" i="15" s="1"/>
  <c r="M10" i="20"/>
  <c r="J43" i="15" s="1"/>
  <c r="D4" i="1"/>
  <c r="G4" i="20" s="1"/>
  <c r="B31" i="1"/>
  <c r="B32" i="1" s="1"/>
  <c r="B36" i="1" s="1"/>
  <c r="D6" i="1" s="1"/>
  <c r="B101" i="1"/>
  <c r="B110" i="1" s="1"/>
  <c r="B106" i="1" s="1"/>
  <c r="D23" i="8"/>
  <c r="B16" i="5" s="1"/>
  <c r="O102" i="1"/>
  <c r="O101" i="1"/>
  <c r="C29" i="21" s="1"/>
  <c r="B17" i="3"/>
  <c r="E42" i="8" s="1"/>
  <c r="B17" i="5"/>
  <c r="E29" i="8" s="1"/>
  <c r="B45" i="1"/>
  <c r="B78" i="1" s="1"/>
  <c r="D78" i="1" s="1"/>
  <c r="B46" i="1"/>
  <c r="B77" i="1"/>
  <c r="D77" i="1" s="1"/>
  <c r="C63" i="1" s="1"/>
  <c r="B50" i="1"/>
  <c r="C26" i="21"/>
  <c r="C27" i="21" s="1"/>
  <c r="B91" i="1"/>
  <c r="B104" i="1" s="1"/>
  <c r="D8" i="1" s="1"/>
  <c r="C5" i="21"/>
  <c r="C6" i="21" s="1"/>
  <c r="C8" i="21"/>
  <c r="C9" i="21"/>
  <c r="C10" i="21" s="1"/>
  <c r="D125" i="1"/>
  <c r="D9" i="1"/>
  <c r="E17" i="20"/>
  <c r="E10" i="20"/>
  <c r="E19" i="20"/>
  <c r="E18" i="20"/>
  <c r="E16" i="20"/>
  <c r="E13" i="20"/>
  <c r="E12" i="20"/>
  <c r="E11" i="20"/>
  <c r="E78" i="1"/>
  <c r="E77" i="1"/>
  <c r="E76" i="1"/>
  <c r="E75" i="1"/>
  <c r="B75" i="1"/>
  <c r="D75" i="1"/>
  <c r="E74" i="1"/>
  <c r="B74" i="1"/>
  <c r="D74" i="1" s="1"/>
  <c r="E73" i="1"/>
  <c r="B73" i="1"/>
  <c r="D73" i="1" s="1"/>
  <c r="E72" i="1"/>
  <c r="B72" i="1"/>
  <c r="D72" i="1" s="1"/>
  <c r="E71" i="1"/>
  <c r="B71" i="1"/>
  <c r="D71" i="1" s="1"/>
  <c r="E70" i="1"/>
  <c r="E69" i="1"/>
  <c r="B69" i="1"/>
  <c r="D69" i="1"/>
  <c r="E68" i="1"/>
  <c r="E67" i="1"/>
  <c r="B67" i="1"/>
  <c r="D67" i="1"/>
  <c r="E66" i="1"/>
  <c r="B66" i="1"/>
  <c r="D66" i="1" s="1"/>
  <c r="E65" i="1"/>
  <c r="B65" i="1"/>
  <c r="D65" i="1" s="1"/>
  <c r="B53" i="1"/>
  <c r="B52" i="1"/>
  <c r="B51" i="1"/>
  <c r="J116" i="15"/>
  <c r="J117" i="15"/>
  <c r="J118" i="15"/>
  <c r="O54" i="16" s="1"/>
  <c r="J121" i="15"/>
  <c r="O62" i="16"/>
  <c r="O59" i="16"/>
  <c r="K76" i="12"/>
  <c r="K77" i="12"/>
  <c r="K78" i="12"/>
  <c r="K79" i="12"/>
  <c r="K80" i="12"/>
  <c r="H76" i="12"/>
  <c r="H77" i="12"/>
  <c r="H78" i="12"/>
  <c r="H79" i="12"/>
  <c r="H80" i="12"/>
  <c r="K54" i="12"/>
  <c r="K55" i="12"/>
  <c r="K56" i="12"/>
  <c r="K57" i="12"/>
  <c r="K58" i="12"/>
  <c r="H54" i="12"/>
  <c r="H55" i="12"/>
  <c r="H56" i="12"/>
  <c r="H57" i="12"/>
  <c r="H58" i="12"/>
  <c r="J41" i="12"/>
  <c r="U56" i="15"/>
  <c r="F58" i="9"/>
  <c r="J45" i="16" s="1"/>
  <c r="F41" i="9"/>
  <c r="F74" i="12" s="1"/>
  <c r="F11" i="9"/>
  <c r="B76" i="16" s="1"/>
  <c r="F24" i="9"/>
  <c r="B67" i="16" s="1"/>
  <c r="B50" i="5"/>
  <c r="E74" i="12"/>
  <c r="K74" i="12"/>
  <c r="R78" i="12" s="1"/>
  <c r="K82" i="12"/>
  <c r="H82" i="12"/>
  <c r="E52" i="12"/>
  <c r="R54" i="12"/>
  <c r="K60" i="12"/>
  <c r="H60" i="12"/>
  <c r="B23" i="5"/>
  <c r="C217" i="13"/>
  <c r="C218" i="13"/>
  <c r="J142" i="15"/>
  <c r="D19" i="13"/>
  <c r="D18" i="13"/>
  <c r="D17" i="13"/>
  <c r="D16" i="13"/>
  <c r="D15" i="13"/>
  <c r="D14" i="13"/>
  <c r="D13" i="13"/>
  <c r="D12" i="13"/>
  <c r="D11" i="13"/>
  <c r="D10" i="13"/>
  <c r="D9" i="13"/>
  <c r="D20" i="13"/>
  <c r="D21" i="13"/>
  <c r="D22" i="13"/>
  <c r="D23" i="13"/>
  <c r="D24" i="13"/>
  <c r="D25" i="13"/>
  <c r="D26" i="13"/>
  <c r="D27" i="13"/>
  <c r="C12" i="10"/>
  <c r="D12" i="10"/>
  <c r="E12" i="10" s="1"/>
  <c r="F12" i="10" s="1"/>
  <c r="I59" i="14"/>
  <c r="I61" i="14" s="1"/>
  <c r="G52" i="14"/>
  <c r="I23" i="14"/>
  <c r="I25" i="14" s="1"/>
  <c r="B9" i="5" s="1"/>
  <c r="I29" i="14"/>
  <c r="G16" i="14"/>
  <c r="I16" i="14" s="1"/>
  <c r="L1" i="16"/>
  <c r="G1" i="16"/>
  <c r="D1" i="3"/>
  <c r="D1" i="5"/>
  <c r="G1" i="6"/>
  <c r="E1" i="6"/>
  <c r="M1" i="8"/>
  <c r="H1" i="8"/>
  <c r="N1" i="7"/>
  <c r="J1" i="7"/>
  <c r="K1" i="12"/>
  <c r="G1" i="12"/>
  <c r="L1" i="9"/>
  <c r="G1" i="9"/>
  <c r="K1" i="15"/>
  <c r="H1" i="15"/>
  <c r="J1" i="14"/>
  <c r="F1" i="14"/>
  <c r="E1" i="1"/>
  <c r="M1" i="19"/>
  <c r="J1" i="19"/>
  <c r="K23" i="4"/>
  <c r="B6" i="3"/>
  <c r="B7" i="3"/>
  <c r="B8" i="3" s="1"/>
  <c r="F53" i="7"/>
  <c r="F55" i="7"/>
  <c r="F57" i="7"/>
  <c r="N61" i="9"/>
  <c r="E95" i="12"/>
  <c r="J100" i="12"/>
  <c r="J98" i="12"/>
  <c r="D217" i="13"/>
  <c r="D216" i="13"/>
  <c r="C177" i="13"/>
  <c r="C178" i="13"/>
  <c r="D177" i="13"/>
  <c r="D176" i="13"/>
  <c r="R79" i="12"/>
  <c r="P80" i="12"/>
  <c r="V20" i="18"/>
  <c r="V18" i="18"/>
  <c r="O23" i="18" s="1"/>
  <c r="B29" i="3"/>
  <c r="H32" i="6"/>
  <c r="B41" i="3" s="1"/>
  <c r="O96" i="16" s="1"/>
  <c r="B6" i="5"/>
  <c r="B7" i="5" s="1"/>
  <c r="N14" i="9"/>
  <c r="G39" i="12" s="1"/>
  <c r="B10" i="5"/>
  <c r="G76" i="16" s="1"/>
  <c r="E36" i="12"/>
  <c r="G38" i="12"/>
  <c r="Q14" i="9"/>
  <c r="J39" i="12" s="1"/>
  <c r="F33" i="7"/>
  <c r="F37" i="7"/>
  <c r="R55" i="12"/>
  <c r="K52" i="12"/>
  <c r="K36" i="12"/>
  <c r="J45" i="15"/>
  <c r="J46" i="15"/>
  <c r="J47" i="15"/>
  <c r="G61" i="16" s="1"/>
  <c r="J50" i="15"/>
  <c r="H5" i="6"/>
  <c r="B41" i="5" s="1"/>
  <c r="G21" i="16" s="1"/>
  <c r="L128" i="17"/>
  <c r="L124" i="17"/>
  <c r="H84" i="17"/>
  <c r="L106" i="17"/>
  <c r="L102" i="17"/>
  <c r="H90" i="17"/>
  <c r="H89" i="17"/>
  <c r="H88" i="17"/>
  <c r="H87" i="17"/>
  <c r="H86" i="17"/>
  <c r="H82" i="17"/>
  <c r="L85" i="17"/>
  <c r="H85" i="17"/>
  <c r="H83" i="17"/>
  <c r="L81" i="17"/>
  <c r="H81" i="17"/>
  <c r="H79" i="17"/>
  <c r="H78" i="17"/>
  <c r="H69" i="17"/>
  <c r="H63" i="17"/>
  <c r="H68" i="17"/>
  <c r="H67" i="17"/>
  <c r="H66" i="17"/>
  <c r="H65" i="17"/>
  <c r="H64" i="17"/>
  <c r="H61" i="17"/>
  <c r="L64" i="17"/>
  <c r="H62" i="17"/>
  <c r="L60" i="17"/>
  <c r="H60" i="17"/>
  <c r="H58" i="17"/>
  <c r="H57" i="17"/>
  <c r="H40" i="17"/>
  <c r="H43" i="17"/>
  <c r="L43" i="17"/>
  <c r="L39" i="17"/>
  <c r="H47" i="17"/>
  <c r="H46" i="17"/>
  <c r="H45" i="17"/>
  <c r="H44" i="17"/>
  <c r="H41" i="17"/>
  <c r="H39" i="17"/>
  <c r="H37" i="17"/>
  <c r="H36" i="17"/>
  <c r="Q36" i="18"/>
  <c r="H10" i="18"/>
  <c r="F59" i="16"/>
  <c r="O56" i="16"/>
  <c r="N57" i="16"/>
  <c r="L105" i="16"/>
  <c r="B33" i="3"/>
  <c r="N10" i="16" s="1"/>
  <c r="B32" i="3"/>
  <c r="N95" i="16" s="1"/>
  <c r="B35" i="3"/>
  <c r="O93" i="16" s="1"/>
  <c r="O88" i="16"/>
  <c r="G77" i="16"/>
  <c r="O75" i="16"/>
  <c r="O71" i="16"/>
  <c r="O69" i="16"/>
  <c r="O48" i="16"/>
  <c r="O36" i="16"/>
  <c r="O29" i="16"/>
  <c r="N27" i="16"/>
  <c r="O26" i="16"/>
  <c r="O24" i="16"/>
  <c r="O22" i="16"/>
  <c r="O20" i="16"/>
  <c r="L5" i="16"/>
  <c r="O18" i="16"/>
  <c r="O14" i="16"/>
  <c r="O16" i="16" s="1"/>
  <c r="G67" i="16"/>
  <c r="D10" i="16"/>
  <c r="B33" i="5"/>
  <c r="F14" i="16" s="1"/>
  <c r="B32" i="5"/>
  <c r="F104" i="16" s="1"/>
  <c r="B35" i="5"/>
  <c r="G18" i="16" s="1"/>
  <c r="G25" i="16"/>
  <c r="G39" i="16"/>
  <c r="G45" i="16"/>
  <c r="G47" i="16"/>
  <c r="G53" i="16"/>
  <c r="G58" i="16"/>
  <c r="G51" i="16"/>
  <c r="G84" i="16"/>
  <c r="F88" i="16"/>
  <c r="G87" i="16"/>
  <c r="G90" i="16"/>
  <c r="G93" i="16"/>
  <c r="G95" i="16"/>
  <c r="G97" i="16"/>
  <c r="D109" i="16"/>
  <c r="B39" i="5"/>
  <c r="B37" i="5"/>
  <c r="F30" i="6"/>
  <c r="B39" i="3"/>
  <c r="B37" i="3"/>
  <c r="R76" i="12"/>
  <c r="R80" i="12"/>
  <c r="R77" i="12"/>
  <c r="R58" i="12"/>
  <c r="R57" i="12"/>
  <c r="J97" i="12"/>
  <c r="G41" i="12"/>
  <c r="F95" i="12"/>
  <c r="F36" i="12"/>
  <c r="G99" i="12"/>
  <c r="G98" i="12"/>
  <c r="G97" i="12"/>
  <c r="T126" i="15"/>
  <c r="I52" i="14"/>
  <c r="D85" i="13"/>
  <c r="D84" i="13"/>
  <c r="D82" i="13"/>
  <c r="D81" i="13"/>
  <c r="D63" i="13"/>
  <c r="D62" i="13"/>
  <c r="D60" i="13"/>
  <c r="D59" i="13"/>
  <c r="C51" i="13"/>
  <c r="D50" i="13"/>
  <c r="E171" i="13"/>
  <c r="D171" i="13"/>
  <c r="C100" i="13"/>
  <c r="E100" i="13"/>
  <c r="E99" i="13"/>
  <c r="D99" i="13"/>
  <c r="J3" i="10"/>
  <c r="F7" i="10"/>
  <c r="S7" i="10" s="1"/>
  <c r="C98" i="10"/>
  <c r="D98" i="10" s="1"/>
  <c r="E98" i="10" s="1"/>
  <c r="F98" i="10" s="1"/>
  <c r="C97" i="10"/>
  <c r="D97" i="10" s="1"/>
  <c r="E97" i="10"/>
  <c r="F97" i="10" s="1"/>
  <c r="C96" i="10"/>
  <c r="D96" i="10" s="1"/>
  <c r="E96" i="10" s="1"/>
  <c r="F96" i="10"/>
  <c r="C95" i="10"/>
  <c r="D95" i="10" s="1"/>
  <c r="E95" i="10" s="1"/>
  <c r="F95" i="10" s="1"/>
  <c r="C94" i="10"/>
  <c r="D94" i="10" s="1"/>
  <c r="E94" i="10" s="1"/>
  <c r="F94" i="10" s="1"/>
  <c r="C93" i="10"/>
  <c r="D93" i="10" s="1"/>
  <c r="E93" i="10"/>
  <c r="F93" i="10" s="1"/>
  <c r="C92" i="10"/>
  <c r="D92" i="10" s="1"/>
  <c r="E92" i="10" s="1"/>
  <c r="F92" i="10"/>
  <c r="C91" i="10"/>
  <c r="D91" i="10" s="1"/>
  <c r="E91" i="10"/>
  <c r="F91" i="10" s="1"/>
  <c r="C90" i="10"/>
  <c r="D90" i="10" s="1"/>
  <c r="E90" i="10" s="1"/>
  <c r="F90" i="10" s="1"/>
  <c r="C89" i="10"/>
  <c r="D89" i="10" s="1"/>
  <c r="E89" i="10"/>
  <c r="F89" i="10" s="1"/>
  <c r="C88" i="10"/>
  <c r="D88" i="10" s="1"/>
  <c r="E88" i="10" s="1"/>
  <c r="F88" i="10"/>
  <c r="C87" i="10"/>
  <c r="D87" i="10" s="1"/>
  <c r="E87" i="10" s="1"/>
  <c r="F87" i="10" s="1"/>
  <c r="C86" i="10"/>
  <c r="D86" i="10" s="1"/>
  <c r="E86" i="10" s="1"/>
  <c r="F86" i="10" s="1"/>
  <c r="C85" i="10"/>
  <c r="D85" i="10" s="1"/>
  <c r="E85" i="10"/>
  <c r="F85" i="10" s="1"/>
  <c r="C84" i="10"/>
  <c r="D84" i="10" s="1"/>
  <c r="E84" i="10" s="1"/>
  <c r="F84" i="10"/>
  <c r="C83" i="10"/>
  <c r="D83" i="10" s="1"/>
  <c r="E83" i="10"/>
  <c r="F83" i="10" s="1"/>
  <c r="C82" i="10"/>
  <c r="D82" i="10" s="1"/>
  <c r="E82" i="10" s="1"/>
  <c r="F82" i="10" s="1"/>
  <c r="C81" i="10"/>
  <c r="D81" i="10" s="1"/>
  <c r="E81" i="10"/>
  <c r="F81" i="10" s="1"/>
  <c r="C80" i="10"/>
  <c r="D80" i="10" s="1"/>
  <c r="E80" i="10" s="1"/>
  <c r="F80" i="10"/>
  <c r="C79" i="10"/>
  <c r="D79" i="10" s="1"/>
  <c r="E79" i="10"/>
  <c r="F79" i="10" s="1"/>
  <c r="C78" i="10"/>
  <c r="D78" i="10" s="1"/>
  <c r="E78" i="10" s="1"/>
  <c r="F78" i="10" s="1"/>
  <c r="C77" i="10"/>
  <c r="D77" i="10" s="1"/>
  <c r="E77" i="10"/>
  <c r="F77" i="10" s="1"/>
  <c r="C76" i="10"/>
  <c r="D76" i="10" s="1"/>
  <c r="E76" i="10" s="1"/>
  <c r="F76" i="10"/>
  <c r="C75" i="10"/>
  <c r="D75" i="10" s="1"/>
  <c r="E75" i="10"/>
  <c r="F75" i="10" s="1"/>
  <c r="C74" i="10"/>
  <c r="D74" i="10" s="1"/>
  <c r="E74" i="10" s="1"/>
  <c r="F74" i="10" s="1"/>
  <c r="C73" i="10"/>
  <c r="D73" i="10" s="1"/>
  <c r="E73" i="10"/>
  <c r="F73" i="10" s="1"/>
  <c r="C72" i="10"/>
  <c r="D72" i="10" s="1"/>
  <c r="E72" i="10" s="1"/>
  <c r="F72" i="10" s="1"/>
  <c r="C71" i="10"/>
  <c r="D71" i="10" s="1"/>
  <c r="E71" i="10"/>
  <c r="F71" i="10" s="1"/>
  <c r="C70" i="10"/>
  <c r="D70" i="10" s="1"/>
  <c r="E70" i="10" s="1"/>
  <c r="F70" i="10" s="1"/>
  <c r="C69" i="10"/>
  <c r="D69" i="10" s="1"/>
  <c r="E69" i="10"/>
  <c r="F69" i="10" s="1"/>
  <c r="C68" i="10"/>
  <c r="D68" i="10" s="1"/>
  <c r="E68" i="10" s="1"/>
  <c r="F68" i="10" s="1"/>
  <c r="C67" i="10"/>
  <c r="D67" i="10" s="1"/>
  <c r="E67" i="10"/>
  <c r="F67" i="10" s="1"/>
  <c r="C66" i="10"/>
  <c r="D66" i="10" s="1"/>
  <c r="E66" i="10" s="1"/>
  <c r="F66" i="10" s="1"/>
  <c r="C65" i="10"/>
  <c r="D65" i="10" s="1"/>
  <c r="E65" i="10"/>
  <c r="F65" i="10" s="1"/>
  <c r="C64" i="10"/>
  <c r="D64" i="10"/>
  <c r="E64" i="10" s="1"/>
  <c r="F64" i="10" s="1"/>
  <c r="C63" i="10"/>
  <c r="D63" i="10" s="1"/>
  <c r="E63" i="10" s="1"/>
  <c r="F63" i="10" s="1"/>
  <c r="C62" i="10"/>
  <c r="D62" i="10"/>
  <c r="E62" i="10" s="1"/>
  <c r="F62" i="10"/>
  <c r="C61" i="10"/>
  <c r="D61" i="10" s="1"/>
  <c r="E61" i="10"/>
  <c r="F61" i="10" s="1"/>
  <c r="C60" i="10"/>
  <c r="D60" i="10" s="1"/>
  <c r="E60" i="10" s="1"/>
  <c r="F60" i="10" s="1"/>
  <c r="C59" i="10"/>
  <c r="D59" i="10" s="1"/>
  <c r="E59" i="10"/>
  <c r="F59" i="10" s="1"/>
  <c r="C58" i="10"/>
  <c r="D58" i="10"/>
  <c r="E58" i="10" s="1"/>
  <c r="F58" i="10"/>
  <c r="C57" i="10"/>
  <c r="D57" i="10" s="1"/>
  <c r="E57" i="10"/>
  <c r="F57" i="10" s="1"/>
  <c r="C56" i="10"/>
  <c r="D56" i="10"/>
  <c r="E56" i="10" s="1"/>
  <c r="F56" i="10"/>
  <c r="C55" i="10"/>
  <c r="D55" i="10" s="1"/>
  <c r="E55" i="10"/>
  <c r="F55" i="10" s="1"/>
  <c r="C54" i="10"/>
  <c r="D54" i="10"/>
  <c r="E54" i="10" s="1"/>
  <c r="F54" i="10"/>
  <c r="C53" i="10"/>
  <c r="D53" i="10" s="1"/>
  <c r="E53" i="10"/>
  <c r="F53" i="10" s="1"/>
  <c r="C52" i="10"/>
  <c r="D52" i="10"/>
  <c r="E52" i="10" s="1"/>
  <c r="F52" i="10"/>
  <c r="C51" i="10"/>
  <c r="D51" i="10" s="1"/>
  <c r="E51" i="10"/>
  <c r="F51" i="10" s="1"/>
  <c r="C50" i="10"/>
  <c r="D50" i="10" s="1"/>
  <c r="E50" i="10" s="1"/>
  <c r="F50" i="10" s="1"/>
  <c r="C49" i="10"/>
  <c r="D49" i="10" s="1"/>
  <c r="E49" i="10" s="1"/>
  <c r="F49" i="10" s="1"/>
  <c r="C48" i="10"/>
  <c r="D48" i="10"/>
  <c r="E48" i="10" s="1"/>
  <c r="F48" i="10"/>
  <c r="C47" i="10"/>
  <c r="D47" i="10" s="1"/>
  <c r="E47" i="10" s="1"/>
  <c r="F47" i="10" s="1"/>
  <c r="C46" i="10"/>
  <c r="D46" i="10"/>
  <c r="E46" i="10" s="1"/>
  <c r="F46" i="10"/>
  <c r="C45" i="10"/>
  <c r="D45" i="10" s="1"/>
  <c r="E45" i="10"/>
  <c r="F45" i="10" s="1"/>
  <c r="C44" i="10"/>
  <c r="D44" i="10"/>
  <c r="E44" i="10" s="1"/>
  <c r="F44" i="10" s="1"/>
  <c r="C43" i="10"/>
  <c r="D43" i="10" s="1"/>
  <c r="E43" i="10"/>
  <c r="F43" i="10" s="1"/>
  <c r="C42" i="10"/>
  <c r="D42" i="10"/>
  <c r="E42" i="10" s="1"/>
  <c r="F42" i="10" s="1"/>
  <c r="C41" i="10"/>
  <c r="D41" i="10" s="1"/>
  <c r="E41" i="10"/>
  <c r="F41" i="10" s="1"/>
  <c r="C40" i="10"/>
  <c r="D40" i="10"/>
  <c r="E40" i="10" s="1"/>
  <c r="F40" i="10"/>
  <c r="C39" i="10"/>
  <c r="D39" i="10" s="1"/>
  <c r="E39" i="10"/>
  <c r="F39" i="10" s="1"/>
  <c r="C38" i="10"/>
  <c r="D38" i="10"/>
  <c r="E38" i="10" s="1"/>
  <c r="F38" i="10"/>
  <c r="C37" i="10"/>
  <c r="D37" i="10" s="1"/>
  <c r="E37" i="10"/>
  <c r="F37" i="10" s="1"/>
  <c r="C36" i="10"/>
  <c r="D36" i="10"/>
  <c r="E36" i="10" s="1"/>
  <c r="F36" i="10"/>
  <c r="C35" i="10"/>
  <c r="D35" i="10" s="1"/>
  <c r="E35" i="10"/>
  <c r="F35" i="10" s="1"/>
  <c r="C34" i="10"/>
  <c r="D34" i="10" s="1"/>
  <c r="E34" i="10" s="1"/>
  <c r="F34" i="10" s="1"/>
  <c r="C33" i="10"/>
  <c r="D33" i="10" s="1"/>
  <c r="E33" i="10" s="1"/>
  <c r="F33" i="10" s="1"/>
  <c r="C32" i="10"/>
  <c r="D32" i="10"/>
  <c r="E32" i="10" s="1"/>
  <c r="F32" i="10"/>
  <c r="C31" i="10"/>
  <c r="D31" i="10" s="1"/>
  <c r="E31" i="10" s="1"/>
  <c r="F31" i="10" s="1"/>
  <c r="C30" i="10"/>
  <c r="D30" i="10"/>
  <c r="E30" i="10" s="1"/>
  <c r="F30" i="10"/>
  <c r="C29" i="10"/>
  <c r="D29" i="10" s="1"/>
  <c r="E29" i="10"/>
  <c r="F29" i="10" s="1"/>
  <c r="C28" i="10"/>
  <c r="D28" i="10"/>
  <c r="E28" i="10" s="1"/>
  <c r="F28" i="10" s="1"/>
  <c r="C27" i="10"/>
  <c r="D27" i="10" s="1"/>
  <c r="E27" i="10"/>
  <c r="F27" i="10" s="1"/>
  <c r="C26" i="10"/>
  <c r="D26" i="10"/>
  <c r="E26" i="10" s="1"/>
  <c r="F26" i="10" s="1"/>
  <c r="C25" i="10"/>
  <c r="D25" i="10" s="1"/>
  <c r="E25" i="10"/>
  <c r="F25" i="10" s="1"/>
  <c r="C24" i="10"/>
  <c r="D24" i="10"/>
  <c r="E24" i="10" s="1"/>
  <c r="F24" i="10"/>
  <c r="C23" i="10"/>
  <c r="D23" i="10" s="1"/>
  <c r="E23" i="10"/>
  <c r="F23" i="10" s="1"/>
  <c r="C22" i="10"/>
  <c r="D22" i="10"/>
  <c r="E22" i="10" s="1"/>
  <c r="F22" i="10"/>
  <c r="C21" i="10"/>
  <c r="D21" i="10" s="1"/>
  <c r="E21" i="10"/>
  <c r="F21" i="10" s="1"/>
  <c r="I20" i="10"/>
  <c r="C20" i="10"/>
  <c r="D20" i="10" s="1"/>
  <c r="E20" i="10"/>
  <c r="F20" i="10" s="1"/>
  <c r="C19" i="10"/>
  <c r="D19" i="10"/>
  <c r="E19" i="10" s="1"/>
  <c r="F19" i="10" s="1"/>
  <c r="C18" i="10"/>
  <c r="D18" i="10"/>
  <c r="E18" i="10"/>
  <c r="F18" i="10" s="1"/>
  <c r="C17" i="10"/>
  <c r="D17" i="10" s="1"/>
  <c r="E17" i="10"/>
  <c r="F17" i="10" s="1"/>
  <c r="C16" i="10"/>
  <c r="D16" i="10"/>
  <c r="E16" i="10" s="1"/>
  <c r="F16" i="10"/>
  <c r="C15" i="10"/>
  <c r="D15" i="10"/>
  <c r="E15" i="10"/>
  <c r="F15" i="10" s="1"/>
  <c r="I14" i="10"/>
  <c r="C14" i="10"/>
  <c r="D14" i="10" s="1"/>
  <c r="E14" i="10" s="1"/>
  <c r="F14" i="10" s="1"/>
  <c r="C13" i="10"/>
  <c r="D13" i="10"/>
  <c r="E13" i="10" s="1"/>
  <c r="F13" i="10"/>
  <c r="C11" i="10"/>
  <c r="D11" i="10"/>
  <c r="E11" i="10" s="1"/>
  <c r="F5" i="10"/>
  <c r="F3" i="6"/>
  <c r="A1" i="3"/>
  <c r="D2" i="3"/>
  <c r="F2" i="3"/>
  <c r="F1" i="3"/>
  <c r="K1" i="1"/>
  <c r="I1" i="1"/>
  <c r="B22" i="1"/>
  <c r="B21" i="1"/>
  <c r="E40" i="2"/>
  <c r="F4" i="2"/>
  <c r="E3" i="2"/>
  <c r="C4" i="2"/>
  <c r="C5" i="2" s="1"/>
  <c r="B3" i="2"/>
  <c r="F43" i="2"/>
  <c r="F44" i="2"/>
  <c r="E43" i="2"/>
  <c r="E42" i="2"/>
  <c r="E41" i="2"/>
  <c r="C43" i="2"/>
  <c r="B42" i="2"/>
  <c r="A1" i="5"/>
  <c r="O107" i="1"/>
  <c r="C38" i="21" s="1"/>
  <c r="O110" i="1"/>
  <c r="O104" i="1" s="1"/>
  <c r="C30" i="21"/>
  <c r="C31" i="21"/>
  <c r="B107" i="1"/>
  <c r="C17" i="21"/>
  <c r="F5" i="2"/>
  <c r="F6" i="2" s="1"/>
  <c r="E5" i="2" s="1"/>
  <c r="B4" i="2"/>
  <c r="I98" i="10"/>
  <c r="I92" i="10"/>
  <c r="I86" i="10"/>
  <c r="I76" i="10"/>
  <c r="I70" i="10"/>
  <c r="I58" i="10"/>
  <c r="I56" i="10"/>
  <c r="I34" i="10"/>
  <c r="I28" i="10"/>
  <c r="I24" i="10"/>
  <c r="I95" i="10"/>
  <c r="I91" i="10"/>
  <c r="I89" i="10"/>
  <c r="I85" i="10"/>
  <c r="I75" i="10"/>
  <c r="I73" i="10"/>
  <c r="I69" i="10"/>
  <c r="I67" i="10"/>
  <c r="I63" i="10"/>
  <c r="I59" i="10"/>
  <c r="I53" i="10"/>
  <c r="I47" i="10"/>
  <c r="I43" i="10"/>
  <c r="I41" i="10"/>
  <c r="I37" i="10"/>
  <c r="I35" i="10"/>
  <c r="I27" i="10"/>
  <c r="I25" i="10"/>
  <c r="I19" i="10"/>
  <c r="I15" i="10"/>
  <c r="I11" i="10"/>
  <c r="I90" i="10"/>
  <c r="I78" i="10"/>
  <c r="I72" i="10"/>
  <c r="I66" i="10"/>
  <c r="I54" i="10"/>
  <c r="I52" i="10"/>
  <c r="I46" i="10"/>
  <c r="I32" i="10"/>
  <c r="I22" i="10"/>
  <c r="C52" i="13"/>
  <c r="D52" i="13" s="1"/>
  <c r="D51" i="13"/>
  <c r="C28" i="21"/>
  <c r="C36" i="21" s="1"/>
  <c r="E36" i="21" s="1"/>
  <c r="C179" i="13"/>
  <c r="D179" i="13"/>
  <c r="D178" i="13"/>
  <c r="C14" i="21"/>
  <c r="C53" i="13"/>
  <c r="B5" i="2"/>
  <c r="C6" i="2"/>
  <c r="E4" i="2"/>
  <c r="C180" i="13"/>
  <c r="F7" i="2"/>
  <c r="C7" i="2"/>
  <c r="B7" i="2"/>
  <c r="B6" i="2"/>
  <c r="C8" i="2"/>
  <c r="B8" i="2" s="1"/>
  <c r="C9" i="2"/>
  <c r="B9" i="2" s="1"/>
  <c r="C33" i="21"/>
  <c r="E33" i="21"/>
  <c r="C34" i="21"/>
  <c r="E34" i="21" s="1"/>
  <c r="C35" i="21"/>
  <c r="E35" i="21"/>
  <c r="C219" i="13"/>
  <c r="C220" i="13" s="1"/>
  <c r="D218" i="13"/>
  <c r="B76" i="1"/>
  <c r="D76" i="1"/>
  <c r="B89" i="1"/>
  <c r="D219" i="13"/>
  <c r="R56" i="12" l="1"/>
  <c r="I73" i="14"/>
  <c r="G55" i="16"/>
  <c r="B11" i="5"/>
  <c r="B12" i="5" s="1"/>
  <c r="B8" i="5"/>
  <c r="G66" i="16"/>
  <c r="F8" i="9"/>
  <c r="L31" i="9" s="1"/>
  <c r="K59" i="12" s="1"/>
  <c r="U59" i="12" s="1"/>
  <c r="R59" i="12" s="1"/>
  <c r="Q15" i="9"/>
  <c r="J40" i="12" s="1"/>
  <c r="K85" i="12"/>
  <c r="K72" i="1" s="1"/>
  <c r="N7" i="16"/>
  <c r="N101" i="16"/>
  <c r="F107" i="16"/>
  <c r="F20" i="16"/>
  <c r="B16" i="3"/>
  <c r="K63" i="12"/>
  <c r="B22" i="5" s="1"/>
  <c r="B23" i="3"/>
  <c r="O47" i="16" s="1"/>
  <c r="B49" i="3"/>
  <c r="R97" i="12"/>
  <c r="K102" i="12" s="1"/>
  <c r="B48" i="3" s="1"/>
  <c r="J38" i="16"/>
  <c r="F52" i="12"/>
  <c r="T141" i="15"/>
  <c r="B9" i="3"/>
  <c r="G82" i="16"/>
  <c r="F3" i="16"/>
  <c r="N3" i="16"/>
  <c r="F39" i="9"/>
  <c r="G4" i="1"/>
  <c r="G6" i="20" s="1"/>
  <c r="G19" i="20" s="1"/>
  <c r="E6" i="2"/>
  <c r="F8" i="2"/>
  <c r="J124" i="15"/>
  <c r="O65" i="16"/>
  <c r="K68" i="1"/>
  <c r="K70" i="1" s="1"/>
  <c r="K63" i="1"/>
  <c r="D7" i="1" s="1"/>
  <c r="B27" i="1"/>
  <c r="B29" i="1"/>
  <c r="B28" i="1"/>
  <c r="C10" i="2"/>
  <c r="D180" i="13"/>
  <c r="C181" i="13"/>
  <c r="H12" i="18"/>
  <c r="H14" i="18" s="1"/>
  <c r="K10" i="18"/>
  <c r="K12" i="18" s="1"/>
  <c r="C221" i="13"/>
  <c r="D220" i="13"/>
  <c r="B33" i="1"/>
  <c r="E14" i="21"/>
  <c r="H31" i="9"/>
  <c r="H59" i="12" s="1"/>
  <c r="F22" i="9"/>
  <c r="N15" i="9"/>
  <c r="G40" i="12" s="1"/>
  <c r="E40" i="21"/>
  <c r="O108" i="1" s="1"/>
  <c r="C54" i="13"/>
  <c r="D53" i="13"/>
  <c r="C44" i="2"/>
  <c r="B43" i="2"/>
  <c r="C7" i="21"/>
  <c r="C13" i="21"/>
  <c r="E13" i="21" s="1"/>
  <c r="I16" i="10"/>
  <c r="I96" i="10"/>
  <c r="I64" i="10"/>
  <c r="I30" i="10"/>
  <c r="I87" i="10"/>
  <c r="I71" i="10"/>
  <c r="I55" i="10"/>
  <c r="I39" i="10"/>
  <c r="I23" i="10"/>
  <c r="I84" i="10"/>
  <c r="I60" i="10"/>
  <c r="I26" i="10"/>
  <c r="I88" i="10"/>
  <c r="I50" i="10"/>
  <c r="I97" i="10"/>
  <c r="I81" i="10"/>
  <c r="I65" i="10"/>
  <c r="I49" i="10"/>
  <c r="I33" i="10"/>
  <c r="I17" i="10"/>
  <c r="I74" i="10"/>
  <c r="I48" i="10"/>
  <c r="I82" i="10"/>
  <c r="I38" i="10"/>
  <c r="I93" i="10"/>
  <c r="I77" i="10"/>
  <c r="I61" i="10"/>
  <c r="I45" i="10"/>
  <c r="I29" i="10"/>
  <c r="I13" i="10"/>
  <c r="I68" i="10"/>
  <c r="I42" i="10"/>
  <c r="I94" i="10"/>
  <c r="I36" i="10"/>
  <c r="I83" i="10"/>
  <c r="I57" i="10"/>
  <c r="I31" i="10"/>
  <c r="I80" i="10"/>
  <c r="I40" i="10"/>
  <c r="I18" i="10"/>
  <c r="C101" i="13"/>
  <c r="D100" i="13"/>
  <c r="F39" i="7"/>
  <c r="F40" i="7" s="1"/>
  <c r="F59" i="7"/>
  <c r="O106" i="1"/>
  <c r="I62" i="10"/>
  <c r="I21" i="10"/>
  <c r="I51" i="10"/>
  <c r="I79" i="10"/>
  <c r="I44" i="10"/>
  <c r="I12" i="10"/>
  <c r="E44" i="2"/>
  <c r="F45" i="2"/>
  <c r="I37" i="14"/>
  <c r="J38" i="12"/>
  <c r="R38" i="12" s="1"/>
  <c r="K43" i="12" s="1"/>
  <c r="B13" i="5" s="1"/>
  <c r="G25" i="14"/>
  <c r="G61" i="14"/>
  <c r="B70" i="1"/>
  <c r="D70" i="1" s="1"/>
  <c r="B10" i="3"/>
  <c r="O35" i="16" s="1"/>
  <c r="B68" i="1"/>
  <c r="D68" i="1" s="1"/>
  <c r="G74" i="16" l="1"/>
  <c r="F33" i="12"/>
  <c r="K8" i="9"/>
  <c r="B24" i="5"/>
  <c r="J55" i="15"/>
  <c r="B52" i="5" s="1"/>
  <c r="B59" i="5" s="1"/>
  <c r="B60" i="5" s="1"/>
  <c r="O31" i="16"/>
  <c r="G49" i="16"/>
  <c r="B51" i="5"/>
  <c r="G11" i="20"/>
  <c r="M12" i="20" s="1"/>
  <c r="B13" i="3"/>
  <c r="B22" i="3"/>
  <c r="K71" i="1"/>
  <c r="B49" i="5"/>
  <c r="F72" i="12"/>
  <c r="F55" i="9"/>
  <c r="L48" i="9"/>
  <c r="K81" i="12" s="1"/>
  <c r="U81" i="12" s="1"/>
  <c r="R81" i="12" s="1"/>
  <c r="H48" i="9"/>
  <c r="H81" i="12" s="1"/>
  <c r="K39" i="9"/>
  <c r="K72" i="12" s="1"/>
  <c r="G12" i="20"/>
  <c r="G10" i="20"/>
  <c r="G18" i="20"/>
  <c r="G13" i="20"/>
  <c r="G17" i="20"/>
  <c r="G16" i="20"/>
  <c r="C102" i="13"/>
  <c r="D101" i="13"/>
  <c r="E101" i="13"/>
  <c r="D221" i="13"/>
  <c r="C222" i="13"/>
  <c r="C11" i="2"/>
  <c r="B10" i="2"/>
  <c r="F46" i="2"/>
  <c r="E45" i="2"/>
  <c r="F63" i="7"/>
  <c r="F60" i="7"/>
  <c r="F64" i="7"/>
  <c r="D181" i="13"/>
  <c r="C182" i="13"/>
  <c r="E7" i="2"/>
  <c r="F9" i="2"/>
  <c r="C15" i="21"/>
  <c r="E15" i="21" s="1"/>
  <c r="C12" i="21"/>
  <c r="E12" i="21" s="1"/>
  <c r="E19" i="21" s="1"/>
  <c r="B108" i="1" s="1"/>
  <c r="K33" i="12"/>
  <c r="U14" i="9"/>
  <c r="U13" i="9"/>
  <c r="B44" i="2"/>
  <c r="C45" i="2"/>
  <c r="K22" i="9"/>
  <c r="K50" i="12" s="1"/>
  <c r="F50" i="12"/>
  <c r="B11" i="3"/>
  <c r="F44" i="7"/>
  <c r="F43" i="7"/>
  <c r="C55" i="13"/>
  <c r="D54" i="13"/>
  <c r="J126" i="15"/>
  <c r="J147" i="15" s="1"/>
  <c r="O67" i="16"/>
  <c r="B50" i="3"/>
  <c r="B24" i="3"/>
  <c r="B25" i="5" l="1"/>
  <c r="G36" i="16" s="1"/>
  <c r="B15" i="5"/>
  <c r="B19" i="5" s="1"/>
  <c r="B55" i="5" s="1"/>
  <c r="B56" i="5" s="1"/>
  <c r="M18" i="20"/>
  <c r="B15" i="3" s="1"/>
  <c r="O43" i="16" s="1"/>
  <c r="B53" i="5"/>
  <c r="Q62" i="9"/>
  <c r="J99" i="12" s="1"/>
  <c r="N62" i="9"/>
  <c r="K55" i="9"/>
  <c r="F92" i="12"/>
  <c r="B25" i="3"/>
  <c r="B26" i="3" s="1"/>
  <c r="B51" i="3"/>
  <c r="B58" i="3" s="1"/>
  <c r="B59" i="3" s="1"/>
  <c r="O38" i="16"/>
  <c r="B14" i="3"/>
  <c r="F65" i="7"/>
  <c r="C223" i="13"/>
  <c r="D222" i="13"/>
  <c r="B45" i="2"/>
  <c r="C46" i="2"/>
  <c r="E8" i="2"/>
  <c r="F10" i="2"/>
  <c r="E46" i="2"/>
  <c r="F47" i="2"/>
  <c r="F45" i="7"/>
  <c r="B14" i="5"/>
  <c r="C183" i="13"/>
  <c r="D182" i="13"/>
  <c r="C12" i="2"/>
  <c r="B11" i="2"/>
  <c r="C103" i="13"/>
  <c r="E102" i="13"/>
  <c r="D102" i="13"/>
  <c r="C56" i="13"/>
  <c r="D55" i="13"/>
  <c r="B19" i="3" l="1"/>
  <c r="B26" i="5"/>
  <c r="G34" i="16" s="1"/>
  <c r="B61" i="5"/>
  <c r="B65" i="5" s="1"/>
  <c r="G69" i="16"/>
  <c r="N41" i="16"/>
  <c r="B52" i="3"/>
  <c r="K92" i="12"/>
  <c r="U61" i="9"/>
  <c r="U60" i="9"/>
  <c r="B46" i="2"/>
  <c r="C47" i="2"/>
  <c r="C224" i="13"/>
  <c r="D223" i="13"/>
  <c r="D103" i="13"/>
  <c r="C104" i="13"/>
  <c r="E103" i="13"/>
  <c r="F48" i="2"/>
  <c r="E47" i="2"/>
  <c r="C13" i="2"/>
  <c r="B12" i="2"/>
  <c r="E9" i="2"/>
  <c r="F11" i="2"/>
  <c r="B27" i="3"/>
  <c r="D183" i="13"/>
  <c r="C184" i="13"/>
  <c r="D56" i="13"/>
  <c r="C57" i="13"/>
  <c r="F72" i="16"/>
  <c r="B27" i="5" l="1"/>
  <c r="B30" i="5" s="1"/>
  <c r="B67" i="5" s="1"/>
  <c r="D104" i="13"/>
  <c r="E104" i="13"/>
  <c r="C105" i="13"/>
  <c r="C225" i="13"/>
  <c r="D224" i="13"/>
  <c r="C58" i="13"/>
  <c r="D57" i="13"/>
  <c r="B13" i="2"/>
  <c r="C14" i="2"/>
  <c r="C48" i="2"/>
  <c r="B47" i="2"/>
  <c r="C185" i="13"/>
  <c r="D184" i="13"/>
  <c r="E48" i="2"/>
  <c r="F49" i="2"/>
  <c r="B54" i="3"/>
  <c r="B60" i="3" s="1"/>
  <c r="B30" i="3"/>
  <c r="B66" i="3" s="1"/>
  <c r="E10" i="2"/>
  <c r="F12" i="2"/>
  <c r="B64" i="3" l="1"/>
  <c r="B55" i="3"/>
  <c r="B61" i="3" s="1"/>
  <c r="B63" i="3" s="1"/>
  <c r="C7" i="16"/>
  <c r="F7" i="16"/>
  <c r="G7" i="16" s="1"/>
  <c r="B48" i="2"/>
  <c r="C49" i="2"/>
  <c r="B43" i="3"/>
  <c r="O107" i="16" s="1"/>
  <c r="P107" i="16" s="1"/>
  <c r="K73" i="1"/>
  <c r="L107" i="16"/>
  <c r="B14" i="2"/>
  <c r="C15" i="2"/>
  <c r="E105" i="13"/>
  <c r="C106" i="13"/>
  <c r="D105" i="13"/>
  <c r="D58" i="13"/>
  <c r="C61" i="13"/>
  <c r="C64" i="13" s="1"/>
  <c r="D185" i="13"/>
  <c r="C186" i="13"/>
  <c r="D225" i="13"/>
  <c r="C226" i="13"/>
  <c r="E11" i="2"/>
  <c r="F13" i="2"/>
  <c r="B43" i="5"/>
  <c r="F5" i="16" s="1"/>
  <c r="G5" i="16" s="1"/>
  <c r="C5" i="16"/>
  <c r="K74" i="1"/>
  <c r="O109" i="16"/>
  <c r="P109" i="16" s="1"/>
  <c r="L109" i="16"/>
  <c r="F50" i="2"/>
  <c r="E49" i="2"/>
  <c r="C65" i="13" l="1"/>
  <c r="D64" i="13"/>
  <c r="F14" i="2"/>
  <c r="E12" i="2"/>
  <c r="E106" i="13"/>
  <c r="C107" i="13"/>
  <c r="D106" i="13"/>
  <c r="D226" i="13"/>
  <c r="C227" i="13"/>
  <c r="D186" i="13"/>
  <c r="C187" i="13"/>
  <c r="B49" i="2"/>
  <c r="C50" i="2"/>
  <c r="F51" i="2"/>
  <c r="E50" i="2"/>
  <c r="B15" i="2"/>
  <c r="C16" i="2"/>
  <c r="E51" i="2" l="1"/>
  <c r="F52" i="2"/>
  <c r="E13" i="2"/>
  <c r="F15" i="2"/>
  <c r="D107" i="13"/>
  <c r="C108" i="13"/>
  <c r="E107" i="13"/>
  <c r="B50" i="2"/>
  <c r="C51" i="2"/>
  <c r="C188" i="13"/>
  <c r="D187" i="13"/>
  <c r="B16" i="2"/>
  <c r="C17" i="2"/>
  <c r="C228" i="13"/>
  <c r="D227" i="13"/>
  <c r="D65" i="13"/>
  <c r="C66" i="13"/>
  <c r="D228" i="13" l="1"/>
  <c r="C229" i="13"/>
  <c r="D188" i="13"/>
  <c r="C189" i="13"/>
  <c r="E52" i="2"/>
  <c r="F53" i="2"/>
  <c r="D108" i="13"/>
  <c r="C109" i="13"/>
  <c r="E108" i="13"/>
  <c r="C18" i="2"/>
  <c r="B17" i="2"/>
  <c r="E14" i="2"/>
  <c r="F16" i="2"/>
  <c r="C67" i="13"/>
  <c r="D66" i="13"/>
  <c r="C52" i="2"/>
  <c r="B51" i="2"/>
  <c r="D67" i="13" l="1"/>
  <c r="C68" i="13"/>
  <c r="F17" i="2"/>
  <c r="E15" i="2"/>
  <c r="C190" i="13"/>
  <c r="D189" i="13"/>
  <c r="C230" i="13"/>
  <c r="D229" i="13"/>
  <c r="C53" i="2"/>
  <c r="B52" i="2"/>
  <c r="D109" i="13"/>
  <c r="C110" i="13"/>
  <c r="E109" i="13"/>
  <c r="F54" i="2"/>
  <c r="E53" i="2"/>
  <c r="B18" i="2"/>
  <c r="C19" i="2"/>
  <c r="D230" i="13" l="1"/>
  <c r="C231" i="13"/>
  <c r="E54" i="2"/>
  <c r="F55" i="2"/>
  <c r="D68" i="13"/>
  <c r="C69" i="13"/>
  <c r="D190" i="13"/>
  <c r="C191" i="13"/>
  <c r="E110" i="13"/>
  <c r="D110" i="13"/>
  <c r="C111" i="13"/>
  <c r="E16" i="2"/>
  <c r="F18" i="2"/>
  <c r="C20" i="2"/>
  <c r="B19" i="2"/>
  <c r="C54" i="2"/>
  <c r="B53" i="2"/>
  <c r="C55" i="2" l="1"/>
  <c r="B54" i="2"/>
  <c r="D191" i="13"/>
  <c r="C192" i="13"/>
  <c r="C21" i="2"/>
  <c r="B20" i="2"/>
  <c r="D69" i="13"/>
  <c r="C70" i="13"/>
  <c r="F19" i="2"/>
  <c r="E17" i="2"/>
  <c r="D231" i="13"/>
  <c r="C232" i="13"/>
  <c r="F56" i="2"/>
  <c r="E55" i="2"/>
  <c r="D111" i="13"/>
  <c r="C112" i="13"/>
  <c r="E111" i="13"/>
  <c r="D70" i="13" l="1"/>
  <c r="C71" i="13"/>
  <c r="B21" i="2"/>
  <c r="C22" i="2"/>
  <c r="C193" i="13"/>
  <c r="D192" i="13"/>
  <c r="E112" i="13"/>
  <c r="C113" i="13"/>
  <c r="D112" i="13"/>
  <c r="E56" i="2"/>
  <c r="F57" i="2"/>
  <c r="D232" i="13"/>
  <c r="C233" i="13"/>
  <c r="E18" i="2"/>
  <c r="F20" i="2"/>
  <c r="C56" i="2"/>
  <c r="B55" i="2"/>
  <c r="F21" i="2" l="1"/>
  <c r="E19" i="2"/>
  <c r="B56" i="2"/>
  <c r="C57" i="2"/>
  <c r="C114" i="13"/>
  <c r="D113" i="13"/>
  <c r="E113" i="13"/>
  <c r="D233" i="13"/>
  <c r="C234" i="13"/>
  <c r="C194" i="13"/>
  <c r="D193" i="13"/>
  <c r="B22" i="2"/>
  <c r="C23" i="2"/>
  <c r="E57" i="2"/>
  <c r="F58" i="2"/>
  <c r="C72" i="13"/>
  <c r="D71" i="13"/>
  <c r="D72" i="13" l="1"/>
  <c r="C73" i="13"/>
  <c r="F59" i="2"/>
  <c r="E58" i="2"/>
  <c r="C24" i="2"/>
  <c r="B23" i="2"/>
  <c r="C58" i="2"/>
  <c r="B57" i="2"/>
  <c r="D194" i="13"/>
  <c r="C195" i="13"/>
  <c r="E114" i="13"/>
  <c r="D114" i="13"/>
  <c r="C115" i="13"/>
  <c r="D234" i="13"/>
  <c r="C235" i="13"/>
  <c r="E20" i="2"/>
  <c r="F22" i="2"/>
  <c r="D235" i="13" l="1"/>
  <c r="C236" i="13"/>
  <c r="C59" i="2"/>
  <c r="B58" i="2"/>
  <c r="B24" i="2"/>
  <c r="C25" i="2"/>
  <c r="D195" i="13"/>
  <c r="C196" i="13"/>
  <c r="E115" i="13"/>
  <c r="D115" i="13"/>
  <c r="C116" i="13"/>
  <c r="F60" i="2"/>
  <c r="E59" i="2"/>
  <c r="D73" i="13"/>
  <c r="C74" i="13"/>
  <c r="F23" i="2"/>
  <c r="E21" i="2"/>
  <c r="C26" i="2" l="1"/>
  <c r="B25" i="2"/>
  <c r="E22" i="2"/>
  <c r="F24" i="2"/>
  <c r="C197" i="13"/>
  <c r="D196" i="13"/>
  <c r="C75" i="13"/>
  <c r="D74" i="13"/>
  <c r="F61" i="2"/>
  <c r="E60" i="2"/>
  <c r="C117" i="13"/>
  <c r="D116" i="13"/>
  <c r="E116" i="13"/>
  <c r="C60" i="2"/>
  <c r="B59" i="2"/>
  <c r="D236" i="13"/>
  <c r="C237" i="13"/>
  <c r="C198" i="13" l="1"/>
  <c r="D197" i="13"/>
  <c r="F25" i="2"/>
  <c r="E23" i="2"/>
  <c r="C76" i="13"/>
  <c r="D75" i="13"/>
  <c r="C61" i="2"/>
  <c r="B60" i="2"/>
  <c r="D117" i="13"/>
  <c r="C118" i="13"/>
  <c r="E117" i="13"/>
  <c r="C238" i="13"/>
  <c r="D237" i="13"/>
  <c r="F62" i="2"/>
  <c r="E61" i="2"/>
  <c r="C27" i="2"/>
  <c r="B26" i="2"/>
  <c r="B27" i="2" l="1"/>
  <c r="C28" i="2"/>
  <c r="E62" i="2"/>
  <c r="F63" i="2"/>
  <c r="D238" i="13"/>
  <c r="C239" i="13"/>
  <c r="E118" i="13"/>
  <c r="D118" i="13"/>
  <c r="C119" i="13"/>
  <c r="C62" i="2"/>
  <c r="B61" i="2"/>
  <c r="C77" i="13"/>
  <c r="D76" i="13"/>
  <c r="F26" i="2"/>
  <c r="E24" i="2"/>
  <c r="D198" i="13"/>
  <c r="C199" i="13"/>
  <c r="C240" i="13" l="1"/>
  <c r="D239" i="13"/>
  <c r="D77" i="13"/>
  <c r="C78" i="13"/>
  <c r="B62" i="2"/>
  <c r="C63" i="2"/>
  <c r="B28" i="2"/>
  <c r="C29" i="2"/>
  <c r="E25" i="2"/>
  <c r="F27" i="2"/>
  <c r="E63" i="2"/>
  <c r="F64" i="2"/>
  <c r="D199" i="13"/>
  <c r="C200" i="13"/>
  <c r="D119" i="13"/>
  <c r="C120" i="13"/>
  <c r="E119" i="13"/>
  <c r="C241" i="13" l="1"/>
  <c r="D240" i="13"/>
  <c r="C121" i="13"/>
  <c r="D120" i="13"/>
  <c r="E120" i="13"/>
  <c r="B29" i="2"/>
  <c r="C30" i="2"/>
  <c r="D200" i="13"/>
  <c r="C201" i="13"/>
  <c r="C64" i="2"/>
  <c r="B63" i="2"/>
  <c r="E64" i="2"/>
  <c r="F65" i="2"/>
  <c r="C79" i="13"/>
  <c r="D78" i="13"/>
  <c r="F28" i="2"/>
  <c r="E26" i="2"/>
  <c r="F29" i="2" l="1"/>
  <c r="E27" i="2"/>
  <c r="B30" i="2"/>
  <c r="C31" i="2"/>
  <c r="D79" i="13"/>
  <c r="C80" i="13"/>
  <c r="D121" i="13"/>
  <c r="C122" i="13"/>
  <c r="E121" i="13"/>
  <c r="C65" i="2"/>
  <c r="B64" i="2"/>
  <c r="E65" i="2"/>
  <c r="F66" i="2"/>
  <c r="C202" i="13"/>
  <c r="D201" i="13"/>
  <c r="C242" i="13"/>
  <c r="D241" i="13"/>
  <c r="D202" i="13" l="1"/>
  <c r="C203" i="13"/>
  <c r="D80" i="13"/>
  <c r="C83" i="13"/>
  <c r="C86" i="13" s="1"/>
  <c r="E66" i="2"/>
  <c r="F67" i="2"/>
  <c r="C66" i="2"/>
  <c r="B65" i="2"/>
  <c r="D242" i="13"/>
  <c r="C243" i="13"/>
  <c r="E122" i="13"/>
  <c r="D122" i="13"/>
  <c r="C123" i="13"/>
  <c r="C32" i="2"/>
  <c r="B31" i="2"/>
  <c r="E28" i="2"/>
  <c r="F30" i="2"/>
  <c r="C33" i="2" l="1"/>
  <c r="B32" i="2"/>
  <c r="D123" i="13"/>
  <c r="E123" i="13"/>
  <c r="C124" i="13"/>
  <c r="B66" i="2"/>
  <c r="C67" i="2"/>
  <c r="F68" i="2"/>
  <c r="E67" i="2"/>
  <c r="C87" i="13"/>
  <c r="D86" i="13"/>
  <c r="D243" i="13"/>
  <c r="C244" i="13"/>
  <c r="D203" i="13"/>
  <c r="C204" i="13"/>
  <c r="E29" i="2"/>
  <c r="F31" i="2"/>
  <c r="D204" i="13" l="1"/>
  <c r="C205" i="13"/>
  <c r="B67" i="2"/>
  <c r="C68" i="2"/>
  <c r="D124" i="13"/>
  <c r="C125" i="13"/>
  <c r="E124" i="13"/>
  <c r="C88" i="13"/>
  <c r="D87" i="13"/>
  <c r="E68" i="2"/>
  <c r="F69" i="2"/>
  <c r="D244" i="13"/>
  <c r="C245" i="13"/>
  <c r="E30" i="2"/>
  <c r="F32" i="2"/>
  <c r="C34" i="2"/>
  <c r="B33" i="2"/>
  <c r="B34" i="2" l="1"/>
  <c r="C35" i="2"/>
  <c r="D88" i="13"/>
  <c r="C89" i="13"/>
  <c r="F33" i="2"/>
  <c r="E31" i="2"/>
  <c r="D125" i="13"/>
  <c r="C126" i="13"/>
  <c r="E125" i="13"/>
  <c r="D245" i="13"/>
  <c r="C246" i="13"/>
  <c r="B68" i="2"/>
  <c r="C69" i="2"/>
  <c r="F70" i="2"/>
  <c r="E69" i="2"/>
  <c r="C206" i="13"/>
  <c r="D205" i="13"/>
  <c r="D206" i="13" l="1"/>
  <c r="C207" i="13"/>
  <c r="C127" i="13"/>
  <c r="E126" i="13"/>
  <c r="D126" i="13"/>
  <c r="E70" i="2"/>
  <c r="F71" i="2"/>
  <c r="C70" i="2"/>
  <c r="B69" i="2"/>
  <c r="E32" i="2"/>
  <c r="F34" i="2"/>
  <c r="C90" i="13"/>
  <c r="D89" i="13"/>
  <c r="D246" i="13"/>
  <c r="C247" i="13"/>
  <c r="C36" i="2"/>
  <c r="B35" i="2"/>
  <c r="D247" i="13" l="1"/>
  <c r="C248" i="13"/>
  <c r="F72" i="2"/>
  <c r="E71" i="2"/>
  <c r="D90" i="13"/>
  <c r="C91" i="13"/>
  <c r="D207" i="13"/>
  <c r="C208" i="13"/>
  <c r="C37" i="2"/>
  <c r="B36" i="2"/>
  <c r="C71" i="2"/>
  <c r="B70" i="2"/>
  <c r="E33" i="2"/>
  <c r="F35" i="2"/>
  <c r="D127" i="13"/>
  <c r="E127" i="13"/>
  <c r="C128" i="13"/>
  <c r="C209" i="13" l="1"/>
  <c r="D208" i="13"/>
  <c r="F36" i="2"/>
  <c r="E34" i="2"/>
  <c r="C92" i="13"/>
  <c r="D91" i="13"/>
  <c r="C72" i="2"/>
  <c r="B71" i="2"/>
  <c r="F73" i="2"/>
  <c r="E72" i="2"/>
  <c r="D248" i="13"/>
  <c r="C249" i="13"/>
  <c r="E128" i="13"/>
  <c r="C129" i="13"/>
  <c r="D128" i="13"/>
  <c r="C38" i="2"/>
  <c r="B37" i="2"/>
  <c r="B72" i="2" l="1"/>
  <c r="C73" i="2"/>
  <c r="B38" i="2"/>
  <c r="C39" i="2"/>
  <c r="E129" i="13"/>
  <c r="D129" i="13"/>
  <c r="C130" i="13"/>
  <c r="C93" i="13"/>
  <c r="D92" i="13"/>
  <c r="D249" i="13"/>
  <c r="C250" i="13"/>
  <c r="F37" i="2"/>
  <c r="E35" i="2"/>
  <c r="F74" i="2"/>
  <c r="E73" i="2"/>
  <c r="D209" i="13"/>
  <c r="C210" i="13"/>
  <c r="C94" i="13" l="1"/>
  <c r="D94" i="13" s="1"/>
  <c r="D93" i="13"/>
  <c r="E130" i="13"/>
  <c r="D130" i="13"/>
  <c r="C131" i="13"/>
  <c r="F75" i="2"/>
  <c r="E74" i="2"/>
  <c r="E36" i="2"/>
  <c r="F38" i="2"/>
  <c r="C40" i="2"/>
  <c r="B40" i="2" s="1"/>
  <c r="B39" i="2"/>
  <c r="D250" i="13"/>
  <c r="C251" i="13"/>
  <c r="B73" i="2"/>
  <c r="C74" i="2"/>
  <c r="C211" i="13"/>
  <c r="D210" i="13"/>
  <c r="C212" i="13" l="1"/>
  <c r="D211" i="13"/>
  <c r="F76" i="2"/>
  <c r="E75" i="2"/>
  <c r="D251" i="13"/>
  <c r="C252" i="13"/>
  <c r="D131" i="13"/>
  <c r="C132" i="13"/>
  <c r="E131" i="13"/>
  <c r="B74" i="2"/>
  <c r="C75" i="2"/>
  <c r="F39" i="2"/>
  <c r="E37" i="2"/>
  <c r="D252" i="13" l="1"/>
  <c r="C253" i="13"/>
  <c r="C254" i="13" s="1"/>
  <c r="C255" i="13" s="1"/>
  <c r="C256" i="13" s="1"/>
  <c r="C257" i="13" s="1"/>
  <c r="C258" i="13" s="1"/>
  <c r="C259" i="13" s="1"/>
  <c r="C260" i="13" s="1"/>
  <c r="C261" i="13" s="1"/>
  <c r="C262" i="13" s="1"/>
  <c r="C263" i="13" s="1"/>
  <c r="C264" i="13" s="1"/>
  <c r="C265" i="13" s="1"/>
  <c r="C266" i="13" s="1"/>
  <c r="C267" i="13" s="1"/>
  <c r="C268" i="13" s="1"/>
  <c r="C269" i="13" s="1"/>
  <c r="C270" i="13" s="1"/>
  <c r="C271" i="13" s="1"/>
  <c r="C272" i="13" s="1"/>
  <c r="C273" i="13" s="1"/>
  <c r="C274" i="13" s="1"/>
  <c r="C275" i="13" s="1"/>
  <c r="C276" i="13" s="1"/>
  <c r="C277" i="13" s="1"/>
  <c r="C278" i="13" s="1"/>
  <c r="C279" i="13" s="1"/>
  <c r="C280" i="13" s="1"/>
  <c r="C281" i="13" s="1"/>
  <c r="C282" i="13" s="1"/>
  <c r="C283" i="13" s="1"/>
  <c r="C284" i="13" s="1"/>
  <c r="C285" i="13" s="1"/>
  <c r="C286" i="13" s="1"/>
  <c r="C287" i="13" s="1"/>
  <c r="F77" i="2"/>
  <c r="E76" i="2"/>
  <c r="D132" i="13"/>
  <c r="C133" i="13"/>
  <c r="E132" i="13"/>
  <c r="F40" i="2"/>
  <c r="E39" i="2" s="1"/>
  <c r="E38" i="2"/>
  <c r="B75" i="2"/>
  <c r="C76" i="2"/>
  <c r="D133" i="13" l="1"/>
  <c r="C134" i="13"/>
  <c r="E133" i="13"/>
  <c r="C77" i="2"/>
  <c r="B76" i="2"/>
  <c r="F78" i="2"/>
  <c r="E77" i="2"/>
  <c r="F79" i="2" l="1"/>
  <c r="E79" i="2" s="1"/>
  <c r="E78" i="2"/>
  <c r="B77" i="2"/>
  <c r="C78" i="2"/>
  <c r="C135" i="13"/>
  <c r="D134" i="13"/>
  <c r="E134" i="13"/>
  <c r="C136" i="13" l="1"/>
  <c r="E135" i="13"/>
  <c r="D135" i="13"/>
  <c r="B78" i="2"/>
  <c r="C79" i="2"/>
  <c r="B79" i="2" s="1"/>
  <c r="C137" i="13" l="1"/>
  <c r="D136" i="13"/>
  <c r="E136" i="13"/>
  <c r="E137" i="13" l="1"/>
  <c r="C138" i="13"/>
  <c r="D137" i="13"/>
  <c r="C139" i="13" l="1"/>
  <c r="E138" i="13"/>
  <c r="D138" i="13"/>
  <c r="C140" i="13" l="1"/>
  <c r="D139" i="13"/>
  <c r="E139" i="13"/>
  <c r="C141" i="13" l="1"/>
  <c r="D140" i="13"/>
  <c r="E140" i="13"/>
  <c r="D141" i="13" l="1"/>
  <c r="E141" i="13"/>
  <c r="C142" i="13"/>
  <c r="E142" i="13" l="1"/>
  <c r="D142" i="13"/>
  <c r="C143" i="13"/>
  <c r="E143" i="13" l="1"/>
  <c r="D143" i="13"/>
  <c r="C144" i="13"/>
  <c r="D144" i="13" l="1"/>
  <c r="E144" i="13"/>
  <c r="C145" i="13"/>
  <c r="E145" i="13" l="1"/>
  <c r="D145" i="13"/>
  <c r="C146" i="13"/>
  <c r="C147" i="13" l="1"/>
  <c r="D146" i="13"/>
  <c r="E146" i="13"/>
  <c r="E147" i="13" l="1"/>
  <c r="D147" i="13"/>
  <c r="C148" i="13"/>
  <c r="E148" i="13" l="1"/>
  <c r="C149" i="13"/>
  <c r="D148" i="13"/>
  <c r="D149" i="13" l="1"/>
  <c r="C150" i="13"/>
  <c r="E149" i="13"/>
  <c r="D150" i="13" l="1"/>
  <c r="E150" i="13"/>
  <c r="C151" i="13"/>
  <c r="C152" i="13" l="1"/>
  <c r="E151" i="13"/>
  <c r="D151" i="13"/>
  <c r="D152" i="13" l="1"/>
  <c r="E152" i="13"/>
  <c r="C153" i="13"/>
  <c r="D153" i="13" l="1"/>
  <c r="C154" i="13"/>
  <c r="E153" i="13"/>
  <c r="C155" i="13" l="1"/>
  <c r="D154" i="13"/>
  <c r="E154" i="13"/>
  <c r="E155" i="13" l="1"/>
  <c r="D155" i="13"/>
  <c r="C156" i="13"/>
  <c r="C157" i="13" l="1"/>
  <c r="D156" i="13"/>
  <c r="E156" i="13"/>
  <c r="C158" i="13" l="1"/>
  <c r="D157" i="13"/>
  <c r="E157" i="13"/>
  <c r="D158" i="13" l="1"/>
  <c r="E158" i="13"/>
  <c r="C159" i="13"/>
  <c r="E159" i="13" l="1"/>
  <c r="D159" i="13"/>
  <c r="C160" i="13"/>
  <c r="D160" i="13" l="1"/>
  <c r="E160" i="13"/>
  <c r="C161" i="13"/>
  <c r="E161" i="13" l="1"/>
  <c r="C162" i="13"/>
  <c r="D161" i="13"/>
  <c r="C163" i="13" l="1"/>
  <c r="E162" i="13"/>
  <c r="D162" i="13"/>
  <c r="E163" i="13" l="1"/>
  <c r="D163" i="13"/>
  <c r="C164" i="13"/>
  <c r="D164" i="13" l="1"/>
  <c r="E164" i="13"/>
  <c r="C165" i="13"/>
  <c r="D165" i="13" l="1"/>
  <c r="E165" i="13"/>
  <c r="C166" i="13"/>
  <c r="D166" i="13" l="1"/>
  <c r="C167" i="13"/>
  <c r="E166" i="13"/>
  <c r="E167" i="13" l="1"/>
  <c r="C168" i="13"/>
  <c r="D167" i="13"/>
  <c r="D168" i="13" l="1"/>
  <c r="E168" i="13"/>
  <c r="C169" i="13"/>
  <c r="E169" i="13" l="1"/>
  <c r="D169" i="13"/>
  <c r="C170" i="13"/>
  <c r="D170" i="13" l="1"/>
  <c r="E17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6" authorId="0" shapeId="0" xr:uid="{00000000-0006-0000-0000-000001000000}">
      <text>
        <r>
          <rPr>
            <sz val="8"/>
            <color indexed="81"/>
            <rFont val="Tahoma"/>
            <family val="2"/>
          </rPr>
          <t xml:space="preserve">
</t>
        </r>
        <r>
          <rPr>
            <sz val="10"/>
            <color indexed="81"/>
            <rFont val="Tahoma"/>
            <family val="2"/>
          </rPr>
          <t xml:space="preserve">It is intended that this Link Model can be used as a formal part of the documentation of your satellite program.  The "Title Page" Worksheet (W/S)  of this Excel Workbook is the means by which this is carried out.  If you are using the model in this capacity it becomes important to be able to track changes.  You will find that many versions of the model will be generated as new designs arise and old ones are modified.  This W/S is intended to contain sufficient information to allow the project personnel to clearly identify which version of the workbook you are using at the time.  Of course, self discipline is always important in documenting software.
First, it should be noted that NONE of the cells in this workbook are protected.  So, anything can be changed (or unintentionally erased).  So, the very first thing you should do is make several copies of this model so that there is always a master copy available.  That version should not be changed from the state in which you receive it.  Only use it to make more copies.  The development of this system uses a few basic principles involving the use of color.  These will be explained in detail in the next W/S.  The basics, however, need to be explained in this note.  
1) </t>
        </r>
        <r>
          <rPr>
            <sz val="10"/>
            <color indexed="10"/>
            <rFont val="Tahoma"/>
            <family val="2"/>
          </rPr>
          <t>RED</t>
        </r>
        <r>
          <rPr>
            <sz val="10"/>
            <color indexed="81"/>
            <rFont val="Tahoma"/>
            <family val="2"/>
          </rPr>
          <t xml:space="preserve"> text on a YELLOW background is intended to draw your attention to important cells -usually results and titles.  They are not to be modified, except on this sheet, University name and Project name should be modified the first time you use it.  This need only be done on this W/S as these cells will be copied, as appropriate, to the other W/S of the model.  If your project is not associated with a university then, of course you can simply modify the header of this W/S accordingly BUT, don't change the cell numbers into which you place your data or the names will not be propagated into the rest of the model correctly.
2) BLACK text should never be modified.  Black text is either used for labels or </t>
        </r>
        <r>
          <rPr>
            <b/>
            <sz val="10"/>
            <color indexed="81"/>
            <rFont val="Tahoma"/>
            <family val="2"/>
          </rPr>
          <t>contains formulas</t>
        </r>
        <r>
          <rPr>
            <sz val="10"/>
            <color indexed="81"/>
            <rFont val="Tahoma"/>
            <family val="2"/>
          </rPr>
          <t xml:space="preserve">.  Modification of black text will result in the loss of the formula once you hit "Enter."   That's not good.
3) Cells with </t>
        </r>
        <r>
          <rPr>
            <sz val="10"/>
            <color indexed="12"/>
            <rFont val="Tahoma"/>
            <family val="2"/>
          </rPr>
          <t>BLUE</t>
        </r>
        <r>
          <rPr>
            <sz val="10"/>
            <color indexed="81"/>
            <rFont val="Tahoma"/>
            <family val="2"/>
          </rPr>
          <t xml:space="preserve"> text are intended for link model operator (that's you) modification.  If the cell has a blue background, that means it is critical that you enter the correct data for your spacecraft or ground station into that cell.
</t>
        </r>
      </text>
    </comment>
    <comment ref="K6" authorId="0" shapeId="0" xr:uid="{00000000-0006-0000-0000-000002000000}">
      <text>
        <r>
          <rPr>
            <sz val="8"/>
            <color rgb="FF000000"/>
            <rFont val="Tahoma"/>
            <family val="2"/>
          </rPr>
          <t xml:space="preserve">
</t>
        </r>
        <r>
          <rPr>
            <b/>
            <sz val="10"/>
            <color rgb="FF000000"/>
            <rFont val="Tahoma"/>
            <family val="2"/>
          </rPr>
          <t xml:space="preserve">Approvals:  </t>
        </r>
        <r>
          <rPr>
            <sz val="10"/>
            <color rgb="FF000000"/>
            <rFont val="Tahoma"/>
            <family val="2"/>
          </rPr>
          <t>If the project is under formal control and this document is used within your documentation system, then the approval boxes below should be used.  In the approval process, when appropriate, each responsible project person should review this workbook and then approve it by placing a capital "X" in the cell associated with their function.  Upon ENTER the cell will change from RED to GREEN.  Once all approvals have been granted,  the "document released" indicator will be enabled.</t>
        </r>
      </text>
    </comment>
    <comment ref="B9" authorId="0" shapeId="0" xr:uid="{00000000-0006-0000-0000-000003000000}">
      <text>
        <r>
          <rPr>
            <sz val="8"/>
            <color indexed="81"/>
            <rFont val="Tahoma"/>
            <family val="2"/>
          </rPr>
          <t xml:space="preserve">
</t>
        </r>
        <r>
          <rPr>
            <b/>
            <sz val="10"/>
            <color indexed="81"/>
            <rFont val="Tahoma"/>
            <family val="2"/>
          </rPr>
          <t>Communication System Engineer:</t>
        </r>
        <r>
          <rPr>
            <sz val="10"/>
            <color indexed="81"/>
            <rFont val="Tahoma"/>
            <family val="2"/>
          </rPr>
          <t xml:space="preserve">  This cell should be modified to incorporate the name of the person acting as the communications engineer for your project. 
</t>
        </r>
        <r>
          <rPr>
            <b/>
            <sz val="10"/>
            <color indexed="81"/>
            <rFont val="Tahoma"/>
            <family val="2"/>
          </rPr>
          <t xml:space="preserve">Project Manager:  </t>
        </r>
        <r>
          <rPr>
            <sz val="10"/>
            <color indexed="81"/>
            <rFont val="Tahoma"/>
            <family val="2"/>
          </rPr>
          <t>This cell should be modified to incorporate the head of the project and the person who will have final authority for the validity of all documents associated with your program.</t>
        </r>
      </text>
    </comment>
    <comment ref="B13" authorId="0" shapeId="0" xr:uid="{00000000-0006-0000-0000-000004000000}">
      <text>
        <r>
          <rPr>
            <sz val="8"/>
            <color indexed="81"/>
            <rFont val="Tahoma"/>
            <family val="2"/>
          </rPr>
          <t xml:space="preserve">
</t>
        </r>
        <r>
          <rPr>
            <b/>
            <sz val="10"/>
            <color indexed="81"/>
            <rFont val="Tahoma"/>
            <family val="2"/>
          </rPr>
          <t xml:space="preserve">Orbit Type:  </t>
        </r>
        <r>
          <rPr>
            <sz val="10"/>
            <color indexed="81"/>
            <rFont val="Tahoma"/>
            <family val="2"/>
          </rPr>
          <t>Modify this area to include a very brief but, accurate description of your orbit on just the first line of this box.  If the orbit changes you should modify this cell.  Also note that the date in Cell [F13] is not linked to any of the data in the "Orbit &amp; Frequency" W/S so, if you change data in that W/S you should change this summary as well.  That must be done manually.  Cell [F14] is linked to the "Orbit &amp; Frequency" W/S and provides feedback as to wheter a LEO, HEO or GEO orbit has been selected.  The choice is made in the "Orbit &amp; Frequency" W/S at Cell [C3].</t>
        </r>
      </text>
    </comment>
    <comment ref="B16" authorId="0" shapeId="0" xr:uid="{00000000-0006-0000-0000-000005000000}">
      <text>
        <r>
          <rPr>
            <sz val="8"/>
            <color indexed="81"/>
            <rFont val="Tahoma"/>
            <family val="2"/>
          </rPr>
          <t xml:space="preserve">
</t>
        </r>
        <r>
          <rPr>
            <b/>
            <sz val="10"/>
            <color indexed="81"/>
            <rFont val="Tahoma"/>
            <family val="2"/>
          </rPr>
          <t>Model Under Investigation:</t>
        </r>
        <r>
          <rPr>
            <sz val="10"/>
            <color indexed="81"/>
            <rFont val="Tahoma"/>
            <family val="2"/>
          </rPr>
          <t xml:space="preserve">  In this cell you should describe the basic characteristics of the spacecraft, it's properties or it's frequency that are unique to this particular CASE you are evaluating.  Update this cell every time you want to run a new CASE but be careful not to save this on top of the filename you used for the old case.   </t>
        </r>
      </text>
    </comment>
    <comment ref="B20" authorId="0" shapeId="0" xr:uid="{00000000-0006-0000-0000-000006000000}">
      <text>
        <r>
          <rPr>
            <sz val="8"/>
            <color rgb="FF000000"/>
            <rFont val="Tahoma"/>
            <family val="2"/>
          </rPr>
          <t xml:space="preserve">
</t>
        </r>
        <r>
          <rPr>
            <b/>
            <sz val="10"/>
            <color rgb="FF000000"/>
            <rFont val="Tahoma"/>
            <family val="2"/>
          </rPr>
          <t xml:space="preserve">Model/ Case No., Rev No.:  </t>
        </r>
        <r>
          <rPr>
            <sz val="10"/>
            <color rgb="FF000000"/>
            <rFont val="Tahoma"/>
            <family val="2"/>
          </rPr>
          <t xml:space="preserve">You are encouraged here to invent a file naming/numbering system that is appropriate for your project.  Hopefully this model will be one of the documents you will use.  It should be given a document number consistent with that system and with your project drawing tree.  IMPORTANT:  Somewhere within this name should be the exact filename which you will use when you SAVE this particular version of the link model.  So before you hit the "SAVE" or "SAVE AS" key the last time, make sure you have modified this cell to include that same name.
</t>
        </r>
        <r>
          <rPr>
            <sz val="10"/>
            <color rgb="FF000000"/>
            <rFont val="Tahoma"/>
            <family val="2"/>
          </rPr>
          <t xml:space="preserve">
</t>
        </r>
        <r>
          <rPr>
            <sz val="10"/>
            <color rgb="FF000000"/>
            <rFont val="Tahoma"/>
            <family val="2"/>
          </rPr>
          <t>If your project has a documentation specialist or someone responsible for project configuration and control, that person should complete this box.  If the link model has entered a formal phase then, once the model is deemed correct and accurate, that person should also check the box at Cell [I20].</t>
        </r>
      </text>
    </comment>
    <comment ref="B25" authorId="0" shapeId="0" xr:uid="{00000000-0006-0000-0000-000007000000}">
      <text>
        <r>
          <rPr>
            <sz val="8"/>
            <color indexed="81"/>
            <rFont val="Tahoma"/>
            <family val="2"/>
          </rPr>
          <t xml:space="preserve">
</t>
        </r>
        <r>
          <rPr>
            <b/>
            <sz val="10"/>
            <color indexed="81"/>
            <rFont val="Tahoma"/>
            <family val="2"/>
          </rPr>
          <t xml:space="preserve">Date Date Last Modified:  </t>
        </r>
        <r>
          <rPr>
            <sz val="10"/>
            <color indexed="81"/>
            <rFont val="Tahoma"/>
            <family val="2"/>
          </rPr>
          <t xml:space="preserve">Update this date whenever you SAVE the W/S if you have modified any of the BLUE cells.
</t>
        </r>
        <r>
          <rPr>
            <b/>
            <sz val="10"/>
            <color indexed="81"/>
            <rFont val="Tahoma"/>
            <family val="2"/>
          </rPr>
          <t xml:space="preserve">Date W/S Formulas Last Modified:  </t>
        </r>
        <r>
          <rPr>
            <sz val="10"/>
            <color indexed="81"/>
            <rFont val="Tahoma"/>
            <family val="2"/>
          </rPr>
          <t>If you choose to modify any of the formulas to improve upon this link model then modify the date in this      cell consistent with the date of the change.  This will keep you from confusing old and new versions of the link model.  Clearly, once the project is under "formal" configuration control (e.g., after CDR) the formulas should not be changed.</t>
        </r>
        <r>
          <rPr>
            <sz val="8"/>
            <color indexed="81"/>
            <rFont val="Tahoma"/>
            <family val="2"/>
          </rPr>
          <t xml:space="preserve">
</t>
        </r>
      </text>
    </comment>
    <comment ref="K26" authorId="0" shapeId="0" xr:uid="{00000000-0006-0000-0000-000008000000}">
      <text>
        <r>
          <rPr>
            <sz val="10"/>
            <color rgb="FF000000"/>
            <rFont val="Tahoma"/>
            <family val="2"/>
          </rPr>
          <t xml:space="preserve">
</t>
        </r>
        <r>
          <rPr>
            <sz val="10"/>
            <color rgb="FF000000"/>
            <rFont val="Tahoma"/>
            <family val="2"/>
          </rPr>
          <t>After entering all data, including Approvals, proceed to the "</t>
        </r>
        <r>
          <rPr>
            <b/>
            <sz val="10"/>
            <color rgb="FF000000"/>
            <rFont val="Tahoma"/>
            <family val="2"/>
          </rPr>
          <t>I.I.R.R</t>
        </r>
        <r>
          <rPr>
            <sz val="10"/>
            <color rgb="FF000000"/>
            <rFont val="Tahoma"/>
            <family val="2"/>
          </rPr>
          <t xml:space="preserve">." W/S and then the "Orbit &amp; Frequency" W/S.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D23" authorId="0" shapeId="0" xr:uid="{00000000-0006-0000-0100-000001000000}">
      <text>
        <r>
          <rPr>
            <sz val="8"/>
            <color indexed="81"/>
            <rFont val="Tahoma"/>
            <family val="2"/>
          </rPr>
          <t>This is a test note to see if you can use the instructions to see all of this pop-up note box even though it may extent off of your screen below.
You never know,
…there may be information way down here.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14" authorId="0" shapeId="0" xr:uid="{00000000-0006-0000-0200-000001000000}">
      <text>
        <r>
          <rPr>
            <sz val="8"/>
            <color indexed="81"/>
            <rFont val="Tahoma"/>
            <family val="2"/>
          </rPr>
          <t xml:space="preserve">
</t>
        </r>
        <r>
          <rPr>
            <sz val="10"/>
            <color indexed="81"/>
            <rFont val="Tahoma"/>
            <family val="2"/>
          </rPr>
          <t>Option #1 is intended for LEO Orbits.  You may find some of the calculations carried out here to be useful for orbit as well as link analysis.  The link model operator should enter the critical values associated with the apogee and perigee height of the orbit.  From that data the worksheet calculates the semi-major axis and the eccentricity of the orbit, which are proper Keplarian elements.  The operator may also wish to enter the orbit inclination, Argument of Prerigee, Right Ascension of Asending Node and Mean Anomaly values.  Given this information, the worksheet will determine the period of the orbit and the first derivatives for the AoP and RAAN.  These will determine how the orbit will propagate over time.  Another useful parameter is also calculated by the worksheet.  Assuming only the orbit inclination can be changed, the worksheet determines the correct value of inclination for a sun synchronous orbit, given the other orbital elements provided.   
Most importantly for the link analysis, the link model operator must enter the minimum acceptable elevation angle, found to be suitable at the ground station site.  Then, the maximum slant range to the spacecraft will be calculated.  This is the range used by the link model in determining path loss.  In addition, the elevation angle is used in subsequent worksheets to estimate the atmospheric losses.   In fact, any elevation angle can be entered and the corresponding slant range to the satellite is calculated.  This will allow an investigation of link performance as a function of elevation angle or slant range.
The figure is provided to help the operator envision the geometry associated with the link. 
Now that the orbital properties have been selected, move to the "Frequency" W/S to the "Uplink &amp; Downlink Frequency Choices."</t>
        </r>
      </text>
    </comment>
    <comment ref="C38" authorId="0" shapeId="0" xr:uid="{00000000-0006-0000-0200-000002000000}">
      <text>
        <r>
          <rPr>
            <sz val="8"/>
            <color rgb="FF000000"/>
            <rFont val="Tahoma"/>
            <family val="2"/>
          </rPr>
          <t xml:space="preserve">
</t>
        </r>
        <r>
          <rPr>
            <sz val="8"/>
            <color rgb="FF000000"/>
            <rFont val="Tahoma"/>
            <family val="2"/>
          </rPr>
          <t xml:space="preserve">Option #2 is intended for High Earth Orbits using eliptical orbits.  The link model operator selects
</t>
        </r>
      </text>
    </comment>
    <comment ref="J68" authorId="0" shapeId="0" xr:uid="{00000000-0006-0000-0200-000003000000}">
      <text>
        <r>
          <rPr>
            <sz val="8"/>
            <color indexed="81"/>
            <rFont val="Tahoma"/>
            <family val="2"/>
          </rPr>
          <t xml:space="preserve">
This is the Earth's diameter (not counting the atmosphere) as seen from the spacecraft.
</t>
        </r>
      </text>
    </comment>
    <comment ref="J69" authorId="0" shapeId="0" xr:uid="{00000000-0006-0000-0200-000004000000}">
      <text>
        <r>
          <rPr>
            <sz val="8"/>
            <color indexed="81"/>
            <rFont val="Tahoma"/>
            <family val="2"/>
          </rPr>
          <t xml:space="preserve">
Note that we depict here only the in-orbit plane compoent.  There is, generally, an out-of-plane component as well.  The pointing vector shown is also to the center of the Earth.  The link model operator may wish to calculate the pointing vector from the antenna boresight axis to the ground station location.  
To assist in completing this calculation, see Ref. 7 (I.I.R.R. W/S), pages 63-71.</t>
        </r>
      </text>
    </comment>
    <comment ref="J70" authorId="0" shapeId="0" xr:uid="{00000000-0006-0000-0200-000005000000}">
      <text>
        <r>
          <rPr>
            <sz val="8"/>
            <color indexed="81"/>
            <rFont val="Tahoma"/>
            <family val="2"/>
          </rPr>
          <t xml:space="preserve">
This is the angle from the symetry axis of the spacecraft antenna to the furthest point away from the spacecraft but, still on the Earth's surface.
</t>
        </r>
      </text>
    </comment>
    <comment ref="J71" authorId="0" shapeId="0" xr:uid="{00000000-0006-0000-0200-000006000000}">
      <text>
        <r>
          <rPr>
            <sz val="8"/>
            <color indexed="81"/>
            <rFont val="Tahoma"/>
            <family val="2"/>
          </rPr>
          <t xml:space="preserve">
Link model operator must calculate and verify that the antenna pointing error is consistent with the S/C pointing vector given in Cell [K69] and takes into consideration the location of the ground station on the Earth.  This is a 3D math problem.  Once this overall angle is determined it may be used in the antenna pointing losses W/S to determine the RX antenna pointing loss.  That will automatically be transferred to this sheet and to the Uplink and Dowlink Budget W/Ss.  </t>
        </r>
      </text>
    </comment>
    <comment ref="J72" authorId="0" shapeId="0" xr:uid="{00000000-0006-0000-0200-000007000000}">
      <text>
        <r>
          <rPr>
            <sz val="8"/>
            <color indexed="81"/>
            <rFont val="Tahoma"/>
            <family val="2"/>
          </rPr>
          <t xml:space="preserve">
Link model operator must calculate and verify that the antenna pointing error is consistent with the S/C pointing vector given in Cell [K69] and takes into consideration the location of the ground station on the Earth.  This is a 3D math problem.  Once this overall angle is determined it may be used in the antenna pointing losses W/S to determine the RX antenna pointing loss.  That will automatically be transferred to this sheet and to the Uplink and Dowlink Budget W/Ss.  
</t>
        </r>
      </text>
    </comment>
    <comment ref="D85" authorId="0" shapeId="0" xr:uid="{00000000-0006-0000-0200-000008000000}">
      <text>
        <r>
          <rPr>
            <sz val="8"/>
            <color indexed="81"/>
            <rFont val="Tahoma"/>
            <family val="2"/>
          </rPr>
          <t xml:space="preserve">
</t>
        </r>
        <r>
          <rPr>
            <sz val="9"/>
            <color indexed="81"/>
            <rFont val="Tahoma"/>
            <family val="2"/>
          </rPr>
          <t>The GEO Orbit Option W/S allows the link model operator to select a GEO Orbit Slot and the location of two satellite users (one for the uplink and one for the downlink).  The W/S calculates the slant range to each user as well as the azimuth and elevation bearing to the satellite from each user.  As an additional output the Earth central angle from the sub-satellite point to the user location is also provided. The slant range results are forwarded to the frequency W/S for computation of the link path loss.</t>
        </r>
        <r>
          <rPr>
            <sz val="8"/>
            <color indexed="81"/>
            <rFont val="Tahoma"/>
            <family val="2"/>
          </rPr>
          <t xml:space="preserve">
</t>
        </r>
      </text>
    </comment>
    <comment ref="O96" authorId="0" shapeId="0" xr:uid="{00000000-0006-0000-0200-000009000000}">
      <text>
        <r>
          <rPr>
            <sz val="8"/>
            <color indexed="81"/>
            <rFont val="Tahoma"/>
            <family val="2"/>
          </rPr>
          <t xml:space="preserve">
This data entry allows a downlink to the same user or to a different user location. 
</t>
        </r>
      </text>
    </comment>
    <comment ref="A102" authorId="0" shapeId="0" xr:uid="{00000000-0006-0000-0200-00000A000000}">
      <text>
        <r>
          <rPr>
            <sz val="8"/>
            <color indexed="81"/>
            <rFont val="Tahoma"/>
            <family val="2"/>
          </rPr>
          <t xml:space="preserve">
Spacecraft Slot Latitude is 0</t>
        </r>
        <r>
          <rPr>
            <sz val="8"/>
            <color indexed="81"/>
            <rFont val="Arial"/>
            <family val="2"/>
          </rPr>
          <t>°</t>
        </r>
        <r>
          <rPr>
            <sz val="8"/>
            <color indexed="81"/>
            <rFont val="Tahoma"/>
            <family val="2"/>
          </rPr>
          <t xml:space="preserve"> by Definition.
</t>
        </r>
      </text>
    </comment>
    <comment ref="G115" authorId="0" shapeId="0" xr:uid="{00000000-0006-0000-0200-00000B000000}">
      <text>
        <r>
          <rPr>
            <sz val="8"/>
            <color indexed="81"/>
            <rFont val="Tahoma"/>
            <family val="2"/>
          </rPr>
          <t xml:space="preserve">
</t>
        </r>
        <r>
          <rPr>
            <sz val="10"/>
            <color indexed="81"/>
            <rFont val="Tahoma"/>
            <family val="2"/>
          </rPr>
          <t>The link model operator enters the mission target object and the range to the deep space spacecraft in astronomical units (AU).  No orbital mechanics calculation is carried out.  The computed range (in kilometers) will be used for path loss calculations in the next W/S.
After the orbit option has been selected move on to the "Frequency" W/S.</t>
        </r>
      </text>
    </comment>
    <comment ref="G121" authorId="0" shapeId="0" xr:uid="{00000000-0006-0000-0200-00000C000000}">
      <text>
        <r>
          <rPr>
            <sz val="8"/>
            <color indexed="81"/>
            <rFont val="Tahoma"/>
            <family val="2"/>
          </rPr>
          <t xml:space="preserve">
This value should be estimated or calculated from other available resource data.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7" authorId="0" shapeId="0" xr:uid="{00000000-0006-0000-0300-000001000000}">
      <text>
        <r>
          <rPr>
            <sz val="8"/>
            <color indexed="81"/>
            <rFont val="Tahoma"/>
            <family val="2"/>
          </rPr>
          <t xml:space="preserve">
</t>
        </r>
        <r>
          <rPr>
            <sz val="10"/>
            <color indexed="81"/>
            <rFont val="Tahoma"/>
            <family val="2"/>
          </rPr>
          <t>The link model operator enters the uplink and downlink frequency selection at Cell [L10] and Cell [L16] respectively.  If options 1,2 or 3 are not desired, an operator-defined choice is provded at Cell [C13] and Cell [19].  The path loss for each choice is given in column G.  The data from this W/S is forwarded to other subsequent sheets.
After the frequencies have been selected move on to the "Transmitters" W/S.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6" authorId="0" shapeId="0" xr:uid="{00000000-0006-0000-0400-000001000000}">
      <text>
        <r>
          <rPr>
            <sz val="8"/>
            <color indexed="81"/>
            <rFont val="Tahoma"/>
            <family val="2"/>
          </rPr>
          <t xml:space="preserve">
</t>
        </r>
        <r>
          <rPr>
            <sz val="10"/>
            <color indexed="81"/>
            <rFont val="Tahoma"/>
            <family val="2"/>
          </rPr>
          <t>This W/S is used to evaluate the losses associated with the ground station and spacecraft transmitter systems.
The operator first enters the transmitter power output in watts.  The W/S provides the power converted to dBm and dBW.  The subsequent W/Ss will use dBW.  
The operator must then estimate the line lengths for all of the cables in series between the transmitter and the antenna.  Line losses can also be determined by using the "Line Loss Toos &amp; Tables" W/S near the end of this workbook.  The operator then must enter the estimated insertion losses for any filters, directional couplers, hybrids or other devices used in-line between the transmitter and the antenna.
The W/S calculates the total line losses and the power that is actually delivered to the antennas.
Once you know the losses of your transmitter systems and the power delivered to the antennas move on to the "Receivers" W/S.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C6" authorId="0" shapeId="0" xr:uid="{00000000-0006-0000-0500-000001000000}">
      <text>
        <r>
          <rPr>
            <sz val="10"/>
            <color indexed="81"/>
            <rFont val="Tahoma"/>
            <family val="2"/>
          </rPr>
          <t xml:space="preserve">
This W/S is used to evalute the losses, noise temperatures and overall performance of the spacecraft and ground station receivers.
The analysis begins by explaining how the total noise temperature of the receiver system is calculated from the individual temperatures and losses that are known.  Just as with the transmitter system, the individual losses of all lines and in-line components must be known, determined or estimated.  The W/S will walk the operator though each entry that is required.  Cable losses may also be determined by using the "Line Loss Tool &amp; Tables" W/S located near the end of the workbook.
There are two separate work areas here.  One is for the spacecraft command receiver and the second is for the ground station telemetry receiver.  
The "bottom line" of this W/S is the system noise temperature for each receiver.  
Two tools are also provided in this W/S.  The first allows you to translate from Noise Figure to Noise Temperature or the reverse.  The second is a tool to be used for estimating the sky temperature of a ground receiver.
Once you have determined the noise temperature for your receivers move on to the "Antenna Gain" W/S.</t>
        </r>
      </text>
    </comment>
    <comment ref="I28" authorId="0" shapeId="0" xr:uid="{00000000-0006-0000-0500-000002000000}">
      <text>
        <r>
          <rPr>
            <sz val="10"/>
            <color rgb="FF000000"/>
            <rFont val="Tahoma"/>
            <family val="2"/>
          </rPr>
          <t xml:space="preserve">
</t>
        </r>
        <r>
          <rPr>
            <sz val="10"/>
            <color rgb="FF000000"/>
            <rFont val="Tahoma"/>
            <family val="2"/>
          </rPr>
          <t xml:space="preserve">In the equation given here, the gain of the LNA should be expressed in its "unlogged" form (e.g. an amplifier with a gain of 20 dB has a linear gain of 100).  If you know the gain of the amplifier in dB then to get the linear gain:  G=10^((Gain in dB)/10).  This worksheet allows you to enter the gain of the LNA in dB and it calculates the linear gain for you.
</t>
        </r>
        <r>
          <rPr>
            <sz val="10"/>
            <color rgb="FF000000"/>
            <rFont val="Tahoma"/>
            <family val="2"/>
          </rPr>
          <t xml:space="preserve">
</t>
        </r>
        <r>
          <rPr>
            <sz val="10"/>
            <color rgb="FF000000"/>
            <rFont val="Tahoma"/>
            <family val="2"/>
          </rPr>
          <t>NOTE:  A classic error made by beginners is to assume that the system performance is increased directly by the gain of the low noise amplifier.  This is incorrect.  Fundamentally, the noise produced by the amplifier can be thought of as being ahead of the gain.  Therefore, the gain of the amplifier increases both the signal and the noise proportionately.  There is a small improvement in overall performance (S/N or Eb/No) given by the gain of the LNA, as can be seen in the last term of the above equation.  But, the amount of this advantage is also dependent upon the noise termperature of the 2nd stage.  For a modern system, the net improvement for, say, a X10 gain increase (10 dB) is usually only a few degrees K, if that.  This is an undetectable improvement.  See for yourself by trying examples using this worksheet.</t>
        </r>
        <r>
          <rPr>
            <sz val="8"/>
            <color rgb="FF000000"/>
            <rFont val="Tahoma"/>
            <family val="2"/>
          </rPr>
          <t xml:space="preserve">
</t>
        </r>
      </text>
    </comment>
    <comment ref="V52" authorId="0" shapeId="0" xr:uid="{00000000-0006-0000-0500-000003000000}">
      <text>
        <r>
          <rPr>
            <sz val="8"/>
            <color rgb="FF000000"/>
            <rFont val="Tahoma"/>
            <family val="2"/>
          </rPr>
          <t xml:space="preserve">
</t>
        </r>
        <r>
          <rPr>
            <sz val="10"/>
            <color rgb="FF000000"/>
            <rFont val="Tahoma"/>
            <family val="2"/>
          </rPr>
          <t>The</t>
        </r>
        <r>
          <rPr>
            <sz val="8"/>
            <color rgb="FF000000"/>
            <rFont val="Tahoma"/>
            <family val="2"/>
          </rPr>
          <t xml:space="preserve"> </t>
        </r>
        <r>
          <rPr>
            <sz val="10"/>
            <color rgb="FF000000"/>
            <rFont val="Tahoma"/>
            <family val="2"/>
          </rPr>
          <t>performance of a low noise amplifier (LNA) [also called a preamplifier] is often expressed in two forms:  It's noise figure (NF) in dB or it's noise</t>
        </r>
        <r>
          <rPr>
            <sz val="8"/>
            <color rgb="FF000000"/>
            <rFont val="Tahoma"/>
            <family val="2"/>
          </rPr>
          <t xml:space="preserve"> </t>
        </r>
        <r>
          <rPr>
            <sz val="10"/>
            <color rgb="FF000000"/>
            <rFont val="Tahoma"/>
            <family val="2"/>
          </rPr>
          <t>temperature in</t>
        </r>
        <r>
          <rPr>
            <sz val="8"/>
            <color rgb="FF000000"/>
            <rFont val="Tahoma"/>
            <family val="2"/>
          </rPr>
          <t xml:space="preserve"> </t>
        </r>
        <r>
          <rPr>
            <sz val="10"/>
            <color rgb="FF000000"/>
            <rFont val="Tahoma"/>
            <family val="2"/>
          </rPr>
          <t>°</t>
        </r>
        <r>
          <rPr>
            <sz val="10"/>
            <color rgb="FF000000"/>
            <rFont val="Tahoma"/>
            <family val="2"/>
          </rPr>
          <t>K</t>
        </r>
        <r>
          <rPr>
            <sz val="8"/>
            <color rgb="FF000000"/>
            <rFont val="Tahoma"/>
            <family val="2"/>
          </rPr>
          <t xml:space="preserve">.  </t>
        </r>
        <r>
          <rPr>
            <sz val="10"/>
            <color rgb="FF000000"/>
            <rFont val="Tahoma"/>
            <family val="2"/>
          </rPr>
          <t>The translation between the two</t>
        </r>
        <r>
          <rPr>
            <sz val="8"/>
            <color rgb="FF000000"/>
            <rFont val="Tahoma"/>
            <family val="2"/>
          </rPr>
          <t xml:space="preserve"> </t>
        </r>
        <r>
          <rPr>
            <sz val="10"/>
            <color rgb="FF000000"/>
            <rFont val="Tahoma"/>
            <family val="2"/>
          </rPr>
          <t>depends upon the reference temperature of the</t>
        </r>
        <r>
          <rPr>
            <sz val="8"/>
            <color rgb="FF000000"/>
            <rFont val="Tahoma"/>
            <family val="2"/>
          </rPr>
          <t xml:space="preserve"> </t>
        </r>
        <r>
          <rPr>
            <sz val="10"/>
            <color rgb="FF000000"/>
            <rFont val="Tahoma"/>
            <family val="2"/>
          </rPr>
          <t>system (</t>
        </r>
        <r>
          <rPr>
            <b/>
            <sz val="10"/>
            <color rgb="FF000000"/>
            <rFont val="Tahoma"/>
            <family val="2"/>
          </rPr>
          <t>T</t>
        </r>
        <r>
          <rPr>
            <b/>
            <sz val="8"/>
            <color rgb="FF000000"/>
            <rFont val="Tahoma"/>
            <family val="2"/>
          </rPr>
          <t>o</t>
        </r>
        <r>
          <rPr>
            <sz val="10"/>
            <color rgb="FF000000"/>
            <rFont val="Tahoma"/>
            <family val="2"/>
          </rPr>
          <t xml:space="preserve">).  </t>
        </r>
        <r>
          <rPr>
            <b/>
            <sz val="10"/>
            <color rgb="FF000000"/>
            <rFont val="Tahoma"/>
            <family val="2"/>
          </rPr>
          <t>T</t>
        </r>
        <r>
          <rPr>
            <b/>
            <sz val="8"/>
            <color rgb="FF000000"/>
            <rFont val="Tahoma"/>
            <family val="2"/>
          </rPr>
          <t>o</t>
        </r>
        <r>
          <rPr>
            <sz val="10"/>
            <color rgb="FF000000"/>
            <rFont val="Tahoma"/>
            <family val="2"/>
          </rPr>
          <t xml:space="preserve"> can be selected in Cell [J59].  For convenience, it is re-displayed at Cell [U56].
</t>
        </r>
        <r>
          <rPr>
            <sz val="8"/>
            <color rgb="FF000000"/>
            <rFont val="Tahoma"/>
            <family val="2"/>
          </rPr>
          <t xml:space="preserve">
</t>
        </r>
        <r>
          <rPr>
            <sz val="10"/>
            <color rgb="FF000000"/>
            <rFont val="Tahoma"/>
            <family val="2"/>
          </rPr>
          <t xml:space="preserve">This calculator allows you to translate from one parmeter to the other, depending upon which parameter is specified to you. </t>
        </r>
      </text>
    </comment>
    <comment ref="G57" authorId="0" shapeId="0" xr:uid="{00000000-0006-0000-0500-000004000000}">
      <text>
        <r>
          <rPr>
            <sz val="10"/>
            <color rgb="FF000000"/>
            <rFont val="Tahoma"/>
            <family val="2"/>
          </rPr>
          <t xml:space="preserve">
</t>
        </r>
        <r>
          <rPr>
            <sz val="10"/>
            <color rgb="FF000000"/>
            <rFont val="Tahoma"/>
            <family val="2"/>
          </rPr>
          <t xml:space="preserve">The Sky Temperature as seen by a spacecraft must be viewed from it's unique perspective.  The antenna at the spacecraft "sees" within it's beamwidth (or it's "field-of-view") two possible components:
</t>
        </r>
        <r>
          <rPr>
            <sz val="10"/>
            <color rgb="FF000000"/>
            <rFont val="Tahoma"/>
            <family val="2"/>
          </rPr>
          <t xml:space="preserve">     - The sky itself which is nominally at 2.7 K but, at  frequencies below 2 GHz also includes galactic noise (see note at Cell [G128]) which explains how much higher values can occur).  
</t>
        </r>
        <r>
          <rPr>
            <sz val="10"/>
            <color rgb="FF000000"/>
            <rFont val="Tahoma"/>
            <family val="2"/>
          </rPr>
          <t xml:space="preserve">     - The  Earth.  The average Earth temperature used is 290K, however, the Earth may be "warmer" due to man-made noise sources that can be distributed on the surface of the planet.  This is particularly true at lower frequencies in the VHF-UHF range.  The actual value that should be used for the Earth temperature is not well understood but, it certainly varies with location and time.
</t>
        </r>
        <r>
          <rPr>
            <sz val="10"/>
            <color rgb="FF000000"/>
            <rFont val="Tahoma"/>
            <family val="2"/>
          </rPr>
          <t xml:space="preserve">
</t>
        </r>
        <r>
          <rPr>
            <sz val="10"/>
            <color rgb="FF000000"/>
            <rFont val="Tahoma"/>
            <family val="2"/>
          </rPr>
          <t xml:space="preserve">There is a math exercise to be accomplished here.  The spacecraft's Sky Temperature value must be computed as follows.  Determine the fraction of the antenna's beamwidth that is filled by the Earth.  This fraction of the field-of-view is given a value of (at least) 290K.  Then determine the fractional remainder of the antenna field-of-view.  It will see the actual sky, which is either taken to be 2.7K at frequencies above 2 GHz or some higher value due to Galactic noise at lower frequencies.  The sky temperature will be the weighted average of these two noise components. [For example, if 25% of a particular spacecraft antenna's field-of-view included the Earth (at 290K) and 75% of the antenna's field-of-view saw cold sky (at 2.7K) then the Sky Temperature for the spacecraft would be .25(290K)+.75(2.7K) = 74.5 K].  To do this properly, of course, involves Integral Calculus, taking into account the antenna pattern roll-off characteristics and the variations in antenna temperature over the sky within the field of view.  Typically, however, simpler mathematical estimates, as given above, are used.
</t>
        </r>
        <r>
          <rPr>
            <sz val="10"/>
            <color rgb="FF000000"/>
            <rFont val="Tahoma"/>
            <family val="2"/>
          </rPr>
          <t xml:space="preserve">
</t>
        </r>
        <r>
          <rPr>
            <sz val="10"/>
            <color rgb="FF000000"/>
            <rFont val="Tahoma"/>
            <family val="2"/>
          </rPr>
          <t xml:space="preserve">A special case that arises frequently is that of a geostationary satellite using a spot beam antenna that has 100% of it's field-of-view filled by the Earth's surface.  In this case the first order Sky Temperature value is simply 290K.  However, when the spot beam gets small enough that it illuminates "features" of the Earth's surface, then determining the local physical temperature of the Earth could have some meaning.  This fine structure exercise, however, is likely not to be productive.  Just use a value of 290K.  
</t>
        </r>
        <r>
          <rPr>
            <sz val="10"/>
            <color rgb="FF000000"/>
            <rFont val="Tahoma"/>
            <family val="2"/>
          </rPr>
          <t xml:space="preserve">
</t>
        </r>
        <r>
          <rPr>
            <sz val="10"/>
            <color rgb="FF000000"/>
            <rFont val="Tahoma"/>
            <family val="2"/>
          </rPr>
          <t xml:space="preserve"> 
</t>
        </r>
        <r>
          <rPr>
            <sz val="8"/>
            <color rgb="FF000000"/>
            <rFont val="Tahoma"/>
            <family val="2"/>
          </rPr>
          <t xml:space="preserve">
</t>
        </r>
      </text>
    </comment>
    <comment ref="I99" authorId="0" shapeId="0" xr:uid="{00000000-0006-0000-0500-000005000000}">
      <text>
        <r>
          <rPr>
            <sz val="8"/>
            <color rgb="FF000000"/>
            <rFont val="Tahoma"/>
            <family val="2"/>
          </rPr>
          <t xml:space="preserve">
</t>
        </r>
        <r>
          <rPr>
            <sz val="10"/>
            <color rgb="FF000000"/>
            <rFont val="Tahoma"/>
            <family val="2"/>
          </rPr>
          <t xml:space="preserve">In the equation used, the gain of the LNA should be expressed in its "unlogged" form (e.g. an amplifier with a gain of 20 dB has a linear gain of 100).  If you know the gain of the amplifier in dB then to get the linear gain:  G=10^((Gain in dB)/10).  This worksheet allows you to enter the gain of the LNA in dB and it calculates the linear gain for you.
</t>
        </r>
        <r>
          <rPr>
            <sz val="10"/>
            <color rgb="FF000000"/>
            <rFont val="Tahoma"/>
            <family val="2"/>
          </rPr>
          <t xml:space="preserve">
</t>
        </r>
        <r>
          <rPr>
            <sz val="10"/>
            <color rgb="FF000000"/>
            <rFont val="Tahoma"/>
            <family val="2"/>
          </rPr>
          <t>NOTE:  A classical error made by beginners is to assume that the system performance is increased directly by the gain of the low noise amplifier.  This is incorrect.  There is a small improvement in overall performance given by the gain of the LNA as can be seen in the last term of the above equation.  But, the amount of this advantage is also dependent upon the noise termperature of the 2nd stage.  For a modern system, the net improvement for, say, a X10 gain increase is usually only a few degrees K, if that.  This is an undetectable improvement.</t>
        </r>
        <r>
          <rPr>
            <sz val="8"/>
            <color rgb="FF000000"/>
            <rFont val="Tahoma"/>
            <family val="2"/>
          </rPr>
          <t xml:space="preserve">
</t>
        </r>
      </text>
    </comment>
    <comment ref="H107" authorId="0" shapeId="0" xr:uid="{00000000-0006-0000-0500-000006000000}">
      <text>
        <r>
          <rPr>
            <sz val="8"/>
            <color indexed="81"/>
            <rFont val="Tahoma"/>
            <family val="2"/>
          </rPr>
          <t xml:space="preserve">
</t>
        </r>
        <r>
          <rPr>
            <sz val="10"/>
            <color indexed="81"/>
            <rFont val="Tahoma"/>
            <family val="2"/>
          </rPr>
          <t xml:space="preserve">The greatest improvement in downlink system performance can be made at this location within the receiver chain.  The line losses beween the antenna and the Preamplifier (LNA) should be minimized by locating the LNA directly at the feed point of the antenna, if at all possible.  Any cable used should be of high quality and the VSWR of the antenna should be as close to 1:1 as possible.  
It is, however, highly desireable to also include a bandpass filter just in front of the LNA.  This reduces out-of-band signal interference which can otherwise desense the LNA.  The fliter, however, also has an in-band insertion loss which must be accounted for in the losses between the antenna and the LNA.  
</t>
        </r>
      </text>
    </comment>
    <comment ref="G128" authorId="0" shapeId="0" xr:uid="{00000000-0006-0000-0500-000007000000}">
      <text>
        <r>
          <rPr>
            <sz val="10"/>
            <color rgb="FF000000"/>
            <rFont val="Tahoma"/>
            <family val="2"/>
          </rPr>
          <t xml:space="preserve">
</t>
        </r>
        <r>
          <rPr>
            <sz val="10"/>
            <color rgb="FF000000"/>
            <rFont val="Tahoma"/>
            <family val="2"/>
          </rPr>
          <t>For a ground station antenna the Sky Temperature value must include not only the noise intercepted by the ground station antenna coming from the colder sky into which the antenna is looking but, it has to include any terrestrially generated noise that may be generated in the proximity of the station.  This noise, most likely enters the system via the sidelobes of the ground station antenna.  This condition is worst when the ground station antenna is at low elevation angles and pointed in the direction of the source of the noise.  Under these conditions the full gain of the antenna "sees" the noise source at maximum "temperature."  On campuses around the world these days, the largest source of "sky noise" is generated by the sum of all computers that are within "radio range" of the ground station.  Finding and eliminating these sources of noise is a major component of the ground station design process.</t>
        </r>
        <r>
          <rPr>
            <sz val="8"/>
            <color rgb="FF000000"/>
            <rFont val="Tahoma"/>
            <family val="2"/>
          </rPr>
          <t xml:space="preserve">
</t>
        </r>
        <r>
          <rPr>
            <sz val="8"/>
            <color rgb="FF000000"/>
            <rFont val="Tahoma"/>
            <family val="2"/>
          </rPr>
          <t xml:space="preserve">
</t>
        </r>
        <r>
          <rPr>
            <sz val="10"/>
            <color rgb="FF000000"/>
            <rFont val="Tahoma"/>
            <family val="2"/>
          </rPr>
          <t>At VHF frequencies (and to a lesser extent, at UHF frequencies) galactic noise can be observed even with small antennas.  The sky brightness is highest in directions that intercept the disk (or plane) of the Milky Way.  At 146 MHz this value can be as high as 1700K and as low as 80K.  For more information regading this source of noise see Ippolito, Louis J., "</t>
        </r>
        <r>
          <rPr>
            <i/>
            <sz val="10"/>
            <color rgb="FF000000"/>
            <rFont val="Tahoma"/>
            <family val="2"/>
          </rPr>
          <t>Radio Propagation in Satellite Communications,"</t>
        </r>
        <r>
          <rPr>
            <sz val="10"/>
            <color rgb="FF000000"/>
            <rFont val="Tahoma"/>
            <family val="2"/>
          </rPr>
          <t xml:space="preserve"> Van Norstrand Reinhold, pp. 136-138.</t>
        </r>
      </text>
    </comment>
    <comment ref="P135" authorId="0" shapeId="0" xr:uid="{00000000-0006-0000-0500-000008000000}">
      <text>
        <r>
          <rPr>
            <sz val="8"/>
            <color rgb="FF000000"/>
            <rFont val="Tahoma"/>
            <family val="2"/>
          </rPr>
          <t xml:space="preserve">
</t>
        </r>
        <r>
          <rPr>
            <sz val="10"/>
            <color rgb="FF000000"/>
            <rFont val="Tahoma"/>
            <family val="2"/>
          </rPr>
          <t>Using a spectrum analyzer or the receiver's signal stregth meter, try to determine the noise power from the terrestrial source generating the noise.  The receiver's "white noise" floor, set by it's own LNA is likely to be in the range -130 to -140 dBm in a 10 kHz bandwidth.  This is the noise you would "hear" with no interference and listening to the receiver speaker or on headphones.  You can determine this level by removing the antenna from the LNA input and replacing it with a 50 ohm dummy load (resistor).  You will only be able to measure the terrestrial noise source if the terrestrial noise source power is considerably above the white noise floor set by the receiver's LNA.  If the terrestrial noise source is small or not detectable then you can ignore this contribution by setting the value here equal to (or less than) the recever's white noise floor power level set by it's LNA (P = k x T</t>
        </r>
        <r>
          <rPr>
            <sz val="8"/>
            <color rgb="FF000000"/>
            <rFont val="Tahoma"/>
            <family val="2"/>
          </rPr>
          <t xml:space="preserve">LNA x </t>
        </r>
        <r>
          <rPr>
            <sz val="10"/>
            <color rgb="FF000000"/>
            <rFont val="Tahoma"/>
            <family val="2"/>
          </rPr>
          <t>B).</t>
        </r>
      </text>
    </comment>
    <comment ref="G136" authorId="0" shapeId="0" xr:uid="{00000000-0006-0000-0500-000009000000}">
      <text>
        <r>
          <rPr>
            <sz val="8"/>
            <color rgb="FF000000"/>
            <rFont val="Tahoma"/>
            <family val="2"/>
          </rPr>
          <t xml:space="preserve">
</t>
        </r>
        <r>
          <rPr>
            <sz val="10"/>
            <color rgb="FF000000"/>
            <rFont val="Tahoma"/>
            <family val="2"/>
          </rPr>
          <t xml:space="preserve">This is the cable run from the output of the Preamplifier (LNA), down the tower, to the ground station and terminating at the input to the Communications Receiver.  This cable has a moderate impact on the overall noise temperature of the system and should be a high quality, low loss cable.  The loss of this cable is modeled as a reduction in the gain of the preamplifier.  This loss and the noise temperature of the Communications Receiver have a small but, measureable impact on the system noise temperature.  The temperature effects at this location in the receiver chain may be improved by 1) increasing the gain of the LNA, 2) reducing the feedline loss or 3) improving the noise figure or temperature of the Communicaitons Receiver's first stage of gain.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5" authorId="0" shapeId="0" xr:uid="{00000000-0006-0000-0600-000001000000}">
      <text>
        <r>
          <rPr>
            <sz val="8"/>
            <color indexed="81"/>
            <rFont val="Tahoma"/>
            <family val="2"/>
          </rPr>
          <t xml:space="preserve">
</t>
        </r>
        <r>
          <rPr>
            <sz val="10"/>
            <color indexed="81"/>
            <rFont val="Tahoma"/>
            <family val="2"/>
          </rPr>
          <t xml:space="preserve">This W/S takes some explaining.  Most spacecraft links are made or broken by the antennas used to support them.  Transmitters and receivers are quite straight-forward devices (in link modeling terms); antennas are not.  Several of the W/Ss here address various properties of antennas.  This W/S addresses the properties known as </t>
        </r>
        <r>
          <rPr>
            <i/>
            <sz val="10"/>
            <color indexed="81"/>
            <rFont val="Tahoma"/>
            <family val="2"/>
          </rPr>
          <t>gain</t>
        </r>
        <r>
          <rPr>
            <sz val="10"/>
            <color indexed="81"/>
            <rFont val="Tahoma"/>
            <family val="2"/>
          </rPr>
          <t xml:space="preserve"> and </t>
        </r>
        <r>
          <rPr>
            <i/>
            <sz val="10"/>
            <color indexed="81"/>
            <rFont val="Tahoma"/>
            <family val="2"/>
          </rPr>
          <t>directivity</t>
        </r>
        <r>
          <rPr>
            <sz val="10"/>
            <color indexed="81"/>
            <rFont val="Tahoma"/>
            <family val="2"/>
          </rPr>
          <t xml:space="preserve">.  The </t>
        </r>
        <r>
          <rPr>
            <i/>
            <sz val="10"/>
            <color indexed="81"/>
            <rFont val="Tahoma"/>
            <family val="2"/>
          </rPr>
          <t>directivity</t>
        </r>
        <r>
          <rPr>
            <sz val="10"/>
            <color indexed="81"/>
            <rFont val="Tahoma"/>
            <family val="2"/>
          </rPr>
          <t xml:space="preserve"> of antenna is a measure of how the antenna concentrates the transmitter's power in a particular direction in relation to some coordinate system fixed on the antenna.  The directivity of a highly directive antenna is typically taken to be the peak value (sometimes called the boresight directivity).  It is usually measured as the ratio of the power directed in the peak direction divided by the same power when it is radiated isotropically (i.e., equally in all directions).  Some antennas will have losses associated with getting the power from the antenna input to the radiating element.  The</t>
        </r>
        <r>
          <rPr>
            <i/>
            <sz val="10"/>
            <color indexed="81"/>
            <rFont val="Tahoma"/>
            <family val="2"/>
          </rPr>
          <t xml:space="preserve"> gain</t>
        </r>
        <r>
          <rPr>
            <sz val="10"/>
            <color indexed="81"/>
            <rFont val="Tahoma"/>
            <family val="2"/>
          </rPr>
          <t xml:space="preserve"> of an antenna is the directivity (measured in dB above an isotropic radiator [dBi]) minus the antenna feed losses (also measured in dB).  It is sometimes important to be able to make the distinction between directivity and gain.  And, frequently they are confused with one another.  For satellite systems operating in the amateur satellite service the term </t>
        </r>
        <r>
          <rPr>
            <i/>
            <sz val="10"/>
            <color indexed="81"/>
            <rFont val="Tahoma"/>
            <family val="2"/>
          </rPr>
          <t>gain</t>
        </r>
        <r>
          <rPr>
            <sz val="10"/>
            <color indexed="81"/>
            <rFont val="Tahoma"/>
            <family val="2"/>
          </rPr>
          <t xml:space="preserve"> is more frequently used.
This W/S provides the operator with antenna options for both the ground station and the spacecraft.  You should be able to pick among them and find one that is similar to what you will use in your system.  If you are using something different, you may choose the "User Defined" option which is either 4 or 5 depending on if the antenna is a ground station or a spacecraft antenna.  Then, you must enter in the gain and beamwidth of the antenna (basically, you must fill in the missing blue values).  So the first action for the operator is to select a generic antenna type for uplink and downlink, spacecraft and ground station.  Thus, four antennas are involved in your system (at least).  If you are using a simplex satellite transciever, you may technically have only three antennas.  So, in this worksheet enter both spacecraft antennas as being the same.  The next step is quite eduacational.  For the ground station you may design your antenna using the basic parameters given in the various tables in this worksheet.  As always, modify only the blue text cells.  For example,  a crossed yagi antenna is designed here by simply selecting the length of the antenna in wavelengths.  The number of elements required in each plane and the antenna gain and beamwidth are derived in the table.  [BTW, for a yagi design, the gain values achieved here are slightly on the optimistic side, based on experience].  In order to design a helix, you will need to input the number of turns to be used, the turn spacing and the diameter of the helix in wavelengths.  The outputs are the gain and the beamwidth.  For a parabolic reflector (dish) the inputs are the dish diameter and the aperture illumination efficiency.  The outputs are again, gain and beamwidth.  The frequency used in all cases is the one you selected in the "Orbit &amp; Frequency" W/S.  
For spacecraft antennas there are a total of seven options provided.  Option 6 is provided so that the link model operator has at least one high gain spacecraft antenna option.  You may model other high gain antennas as though they were a "dish" antenna by adjusting the diameter and/or aperture efficiency of the dish until the desired gain of your actual antenna is achieved.   Option 7 is a user defined option.  You must provide the gain and beamwidth values for the antenna you choose in Cells H32 and L32 for the uplink (and Cells H49 and L49 for the downlink) respectively.   For the spacecraft antennas there are no user definable design parametes, except for the parabolic reflector (see NOTE at Cell G31).  As most of the options available are primarily omni antennas, their designs are fairly fixed.  That's not entirely true for antennas like the quadrifilar helix, however, as the number of fractional turns and the L/D of the antenna does result in different (and very interesting) pattern properties.   The quadrifilar antenna selected here (Option 4) is a half-turn version which gives an excellent hemispherical pattern with a good axial ratio over the entire hemisphere.  In summary, for the spacecraft antennas the operator simply picks an antenna type per your own spacecraft design.   This is done by entering an option number (1-7).
In the end, you will have selected four antennas for your system.  In the case of the ground station you will have "designed" their gain and beamwidth.  Now move on to the next W/S:  "Antenna Pointing Losses." </t>
        </r>
      </text>
    </comment>
    <comment ref="K11" authorId="0" shapeId="0" xr:uid="{00000000-0006-0000-0600-000002000000}">
      <text>
        <r>
          <rPr>
            <sz val="8"/>
            <color rgb="FF000000"/>
            <rFont val="Tahoma"/>
            <family val="2"/>
          </rPr>
          <t xml:space="preserve">Operator Enter RHCP, LHCP, Linear 
</t>
        </r>
        <r>
          <rPr>
            <sz val="8"/>
            <color rgb="FF000000"/>
            <rFont val="Tahoma"/>
            <family val="2"/>
          </rPr>
          <t xml:space="preserve">
</t>
        </r>
        <r>
          <rPr>
            <sz val="8"/>
            <color rgb="FF000000"/>
            <rFont val="Tahoma"/>
            <family val="2"/>
          </rPr>
          <t xml:space="preserve">NOTE:  Linear antennas are discouraged.
</t>
        </r>
      </text>
    </comment>
    <comment ref="K24" authorId="0" shapeId="0" xr:uid="{00000000-0006-0000-0600-000003000000}">
      <text>
        <r>
          <rPr>
            <sz val="8"/>
            <color rgb="FF000000"/>
            <rFont val="Tahoma"/>
            <family val="2"/>
          </rPr>
          <t xml:space="preserve">Operator Enter RHCP, LHCP or Linear 
</t>
        </r>
        <r>
          <rPr>
            <sz val="8"/>
            <color rgb="FF000000"/>
            <rFont val="Tahoma"/>
            <family val="2"/>
          </rPr>
          <t xml:space="preserve">
</t>
        </r>
      </text>
    </comment>
    <comment ref="G31" authorId="0" shapeId="0" xr:uid="{00000000-0006-0000-0600-000004000000}">
      <text>
        <r>
          <rPr>
            <sz val="10"/>
            <color rgb="FF000000"/>
            <rFont val="Tahoma"/>
            <family val="2"/>
          </rPr>
          <t>Link Model Operator Must Set Antenna Parameters at Cells T31 and V31.</t>
        </r>
        <r>
          <rPr>
            <sz val="8"/>
            <color rgb="FF000000"/>
            <rFont val="Tahoma"/>
            <family val="2"/>
          </rPr>
          <t xml:space="preserve">
</t>
        </r>
      </text>
    </comment>
    <comment ref="K31" authorId="0" shapeId="0" xr:uid="{00000000-0006-0000-0600-000005000000}">
      <text>
        <r>
          <rPr>
            <sz val="10"/>
            <color rgb="FF000000"/>
            <rFont val="Tahoma"/>
            <family val="2"/>
          </rPr>
          <t>Link Mode Operator Must Set Antenna Parameters at Cells T31 and V31.</t>
        </r>
        <r>
          <rPr>
            <sz val="8"/>
            <color rgb="FF000000"/>
            <rFont val="Tahoma"/>
            <family val="2"/>
          </rPr>
          <t xml:space="preserve">
</t>
        </r>
      </text>
    </comment>
    <comment ref="K41" authorId="0" shapeId="0" xr:uid="{00000000-0006-0000-0600-000006000000}">
      <text>
        <r>
          <rPr>
            <sz val="8"/>
            <color rgb="FF000000"/>
            <rFont val="Tahoma"/>
            <family val="2"/>
          </rPr>
          <t xml:space="preserve">Operator Enter RHCP, LHCP or Linear 
</t>
        </r>
        <r>
          <rPr>
            <sz val="8"/>
            <color rgb="FF000000"/>
            <rFont val="Tahoma"/>
            <family val="2"/>
          </rPr>
          <t xml:space="preserve">
</t>
        </r>
      </text>
    </comment>
    <comment ref="G48" authorId="0" shapeId="0" xr:uid="{00000000-0006-0000-0600-000007000000}">
      <text>
        <r>
          <rPr>
            <sz val="10"/>
            <color rgb="FF000000"/>
            <rFont val="Tahoma"/>
            <family val="2"/>
          </rPr>
          <t>Link Model Operator Must Set Antenna Parameters at Cells T48 and V48.</t>
        </r>
        <r>
          <rPr>
            <sz val="8"/>
            <color rgb="FF000000"/>
            <rFont val="Tahoma"/>
            <family val="2"/>
          </rPr>
          <t xml:space="preserve">
</t>
        </r>
      </text>
    </comment>
    <comment ref="K48" authorId="0" shapeId="0" xr:uid="{00000000-0006-0000-0600-000008000000}">
      <text>
        <r>
          <rPr>
            <sz val="10"/>
            <color indexed="81"/>
            <rFont val="Tahoma"/>
            <family val="2"/>
          </rPr>
          <t>Link Model Operator Must Set Antenna Parameters at Cells T48 and V48.</t>
        </r>
        <r>
          <rPr>
            <sz val="8"/>
            <color indexed="81"/>
            <rFont val="Tahoma"/>
            <family val="2"/>
          </rPr>
          <t xml:space="preserve">
</t>
        </r>
      </text>
    </comment>
    <comment ref="K58" authorId="0" shapeId="0" xr:uid="{00000000-0006-0000-0600-000009000000}">
      <text>
        <r>
          <rPr>
            <sz val="8"/>
            <color rgb="FF000000"/>
            <rFont val="Tahoma"/>
            <family val="2"/>
          </rPr>
          <t xml:space="preserve">Operator Enter RHCP, LHCP or Linear 
</t>
        </r>
        <r>
          <rPr>
            <sz val="8"/>
            <color rgb="FF000000"/>
            <rFont val="Tahoma"/>
            <family val="2"/>
          </rPr>
          <t xml:space="preserve">
</t>
        </r>
        <r>
          <rPr>
            <sz val="8"/>
            <color rgb="FF000000"/>
            <rFont val="Tahoma"/>
            <family val="2"/>
          </rPr>
          <t xml:space="preserve">NOTE:  Linear antennas are discouraged.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3" authorId="0" shapeId="0" xr:uid="{00000000-0006-0000-0700-000001000000}">
      <text>
        <r>
          <rPr>
            <sz val="8"/>
            <color indexed="81"/>
            <rFont val="Tahoma"/>
            <family val="2"/>
          </rPr>
          <t xml:space="preserve">
</t>
        </r>
        <r>
          <rPr>
            <sz val="10"/>
            <color indexed="81"/>
            <rFont val="Tahoma"/>
            <family val="2"/>
          </rPr>
          <t>This W/S also deals with spacecraft and ground station antennas.  In this case, we are looking at how the directivity (or gain) of an antenna changes as we move away from the antenna's direction of peak gain.  It is typical to refer to the antenna's loss in gain, as it might be viewed from a distant location and as the antenna is rotated relative to the observer, to be the gain "roll-off" of the antenna.  If the antenna gain used in the link analysis is the peak gain of the antenna (and it always is) then any roll-off (typically measured in dB) is considered a loss. The beamwidth of an antenna is typically taken to be twice the angle between the boresight and the direction where the power has a roll-off value of a factor of 2 (that is, -3 dB).  
The gain of an antenna, as a function of some angle (</t>
        </r>
        <r>
          <rPr>
            <sz val="10"/>
            <color indexed="81"/>
            <rFont val="Arial"/>
            <family val="2"/>
          </rPr>
          <t>θ</t>
        </r>
        <r>
          <rPr>
            <sz val="10"/>
            <color indexed="81"/>
            <rFont val="Tahoma"/>
            <family val="2"/>
          </rPr>
          <t xml:space="preserve">) away from the boresight, must be expressed by assigning a coordinate system into which the antenna is placed.  In the case of a spacecraft antenna, which is more-or-less omnidirectional, we primarily care about the location of the antenna with respect to some symmetry axis of the satellite.  Figures 1 and 2 here, define the overall geometry of the uplink and downlink and the antenna placements assumed in this link model.    
</t>
        </r>
        <r>
          <rPr>
            <b/>
            <u/>
            <sz val="10"/>
            <color indexed="81"/>
            <rFont val="Tahoma"/>
            <family val="2"/>
          </rPr>
          <t>Ground Station Antennas:</t>
        </r>
        <r>
          <rPr>
            <sz val="10"/>
            <color indexed="81"/>
            <rFont val="Tahoma"/>
            <family val="2"/>
          </rPr>
          <t xml:space="preserve">  For the uplink, the pointing loss of the ground station antenna is due to an error in pointing,</t>
        </r>
        <r>
          <rPr>
            <b/>
            <sz val="10"/>
            <color indexed="81"/>
            <rFont val="Arial"/>
            <family val="2"/>
          </rPr>
          <t>θ1</t>
        </r>
        <r>
          <rPr>
            <sz val="10"/>
            <color indexed="81"/>
            <rFont val="Tahoma"/>
            <family val="2"/>
          </rPr>
          <t xml:space="preserve">.  The antenna is always operated close to the boresight and the gain roll-off starts off slowly but then rapidly increases.  The angle is measured realative to the boresight direction.  It doesn't usually matter much in which direction the angle varies with respect to the boresight (e.g., in azimuth or in elevation).  The gain of this class of antennas usually falls off in the same manner regardless of the error direction.  Some high gain antenna arrays such as fan beam antennas and offset fed dishes do not have this symmetry property around the boresight so, this comment can't be totally generalized.  If such antennas are employed, a more complex model might be warrented.  </t>
        </r>
        <r>
          <rPr>
            <b/>
            <sz val="10"/>
            <color indexed="81"/>
            <rFont val="Arial"/>
            <family val="2"/>
          </rPr>
          <t>θ</t>
        </r>
        <r>
          <rPr>
            <b/>
            <sz val="8"/>
            <color indexed="81"/>
            <rFont val="Tahoma"/>
            <family val="2"/>
          </rPr>
          <t xml:space="preserve">4 </t>
        </r>
        <r>
          <rPr>
            <sz val="10"/>
            <color indexed="81"/>
            <rFont val="Tahoma"/>
            <family val="2"/>
          </rPr>
          <t xml:space="preserve">on the downlink is defined in exactly the same manner as </t>
        </r>
        <r>
          <rPr>
            <b/>
            <sz val="10"/>
            <color indexed="81"/>
            <rFont val="Arial"/>
            <family val="2"/>
          </rPr>
          <t>θ</t>
        </r>
        <r>
          <rPr>
            <b/>
            <sz val="8"/>
            <color indexed="81"/>
            <rFont val="Tahoma"/>
            <family val="2"/>
          </rPr>
          <t>1</t>
        </r>
        <r>
          <rPr>
            <sz val="10"/>
            <color indexed="81"/>
            <rFont val="Tahoma"/>
            <family val="2"/>
          </rPr>
          <t xml:space="preserve">.  
</t>
        </r>
        <r>
          <rPr>
            <b/>
            <u/>
            <sz val="10"/>
            <color indexed="81"/>
            <rFont val="Tahoma"/>
            <family val="2"/>
          </rPr>
          <t>Spacecraft Antennas:</t>
        </r>
        <r>
          <rPr>
            <sz val="10"/>
            <color indexed="81"/>
            <rFont val="Tahoma"/>
            <family val="2"/>
          </rPr>
          <t xml:space="preserve">  On the spacecraft side, one doesn't typically think of the orientation of the spacecraft relative to the remote observer as being a pointing "error" for LEO systems.  Rather, we may think of the ground station observer to be at some vector orientation with respect to the spacecraft's coordinate system.  The spacecaft antenna itself must also be placed into that same coordinate sytsem.  For the uplink,</t>
        </r>
        <r>
          <rPr>
            <b/>
            <sz val="10"/>
            <color indexed="81"/>
            <rFont val="Tahoma"/>
            <family val="2"/>
          </rPr>
          <t xml:space="preserve"> </t>
        </r>
        <r>
          <rPr>
            <b/>
            <sz val="10"/>
            <color indexed="81"/>
            <rFont val="Arial"/>
            <family val="2"/>
          </rPr>
          <t>θ</t>
        </r>
        <r>
          <rPr>
            <b/>
            <sz val="8"/>
            <color indexed="81"/>
            <rFont val="Tahoma"/>
            <family val="2"/>
          </rPr>
          <t xml:space="preserve">2 </t>
        </r>
        <r>
          <rPr>
            <sz val="10"/>
            <color indexed="81"/>
            <rFont val="Tahoma"/>
            <family val="2"/>
          </rPr>
          <t xml:space="preserve">is a projection of the vector into one particular plane of the spacecraft.  Generally, it is a plane that contains the symmetry axis of the spacecraft system.  The specific orientation of each of the antenna options as they might be placed on the spacecraft are shown in Figure 3 through Figure 8.  Also shown in these figures is a rough, uncalibrated polar representation of the antenna gain relative to the spacecraft symmetry axis.  </t>
        </r>
        <r>
          <rPr>
            <b/>
            <sz val="10"/>
            <color indexed="81"/>
            <rFont val="Arial"/>
            <family val="2"/>
          </rPr>
          <t>θ</t>
        </r>
        <r>
          <rPr>
            <b/>
            <sz val="8"/>
            <color indexed="81"/>
            <rFont val="Tahoma"/>
            <family val="2"/>
          </rPr>
          <t>3</t>
        </r>
        <r>
          <rPr>
            <sz val="8"/>
            <color indexed="81"/>
            <rFont val="Tahoma"/>
            <family val="2"/>
          </rPr>
          <t xml:space="preserve"> </t>
        </r>
        <r>
          <rPr>
            <sz val="10"/>
            <color indexed="81"/>
            <rFont val="Tahoma"/>
            <family val="2"/>
          </rPr>
          <t xml:space="preserve">is defined in the same manner as </t>
        </r>
        <r>
          <rPr>
            <b/>
            <sz val="10"/>
            <color indexed="81"/>
            <rFont val="Arial"/>
            <family val="2"/>
          </rPr>
          <t>θ</t>
        </r>
        <r>
          <rPr>
            <b/>
            <sz val="8"/>
            <color indexed="81"/>
            <rFont val="Tahoma"/>
            <family val="2"/>
          </rPr>
          <t>2</t>
        </r>
        <r>
          <rPr>
            <sz val="10"/>
            <color indexed="81"/>
            <rFont val="Tahoma"/>
            <family val="2"/>
          </rPr>
          <t xml:space="preserve">.  </t>
        </r>
        <r>
          <rPr>
            <b/>
            <sz val="10"/>
            <color indexed="81"/>
            <rFont val="Tahoma"/>
            <family val="2"/>
          </rPr>
          <t xml:space="preserve"> It is important to note</t>
        </r>
        <r>
          <rPr>
            <sz val="10"/>
            <color indexed="81"/>
            <rFont val="Tahoma"/>
            <family val="2"/>
          </rPr>
          <t xml:space="preserve"> that all except one of the antenna options has a gain pattern that is symmetric with respect to the </t>
        </r>
        <r>
          <rPr>
            <b/>
            <sz val="10"/>
            <color indexed="81"/>
            <rFont val="Tahoma"/>
            <family val="2"/>
          </rPr>
          <t>Z</t>
        </r>
        <r>
          <rPr>
            <sz val="10"/>
            <color indexed="81"/>
            <rFont val="Tahoma"/>
            <family val="2"/>
          </rPr>
          <t>-axis of the spacecraft body.  The orientation of the antenna options provided are such that if one were to rotate the spacecraft about</t>
        </r>
        <r>
          <rPr>
            <b/>
            <sz val="10"/>
            <color indexed="81"/>
            <rFont val="Tahoma"/>
            <family val="2"/>
          </rPr>
          <t xml:space="preserve"> Z</t>
        </r>
        <r>
          <rPr>
            <sz val="10"/>
            <color indexed="81"/>
            <rFont val="Tahoma"/>
            <family val="2"/>
          </rPr>
          <t xml:space="preserve"> and maintain the projection of the angle to the remote observer in the fixed plane in which we are observing here, then the gain of the antenna would not change.   One antenna, the dipole is actually oriented differently.  It has been assumed that the dipole is mounted perpendicular to the spacecraft </t>
        </r>
        <r>
          <rPr>
            <b/>
            <sz val="10"/>
            <color indexed="81"/>
            <rFont val="Tahoma"/>
            <family val="2"/>
          </rPr>
          <t>Z</t>
        </r>
        <r>
          <rPr>
            <sz val="10"/>
            <color indexed="81"/>
            <rFont val="Tahoma"/>
            <family val="2"/>
          </rPr>
          <t>-axis.  In this one case, the projection of the angle toward the direction to the user cuts the pattern  differently, for any arbitrary rotation about</t>
        </r>
        <r>
          <rPr>
            <b/>
            <sz val="10"/>
            <color indexed="81"/>
            <rFont val="Tahoma"/>
            <family val="2"/>
          </rPr>
          <t xml:space="preserve"> Z</t>
        </r>
        <r>
          <rPr>
            <sz val="10"/>
            <color indexed="81"/>
            <rFont val="Tahoma"/>
            <family val="2"/>
          </rPr>
          <t xml:space="preserve">.  So, we must say that the gain given here is only valid if the remote observer vector were to lie in the </t>
        </r>
        <r>
          <rPr>
            <b/>
            <sz val="10"/>
            <color indexed="81"/>
            <rFont val="Tahoma"/>
            <family val="2"/>
          </rPr>
          <t>X-Z</t>
        </r>
        <r>
          <rPr>
            <sz val="10"/>
            <color indexed="81"/>
            <rFont val="Tahoma"/>
            <family val="2"/>
          </rPr>
          <t xml:space="preserve"> plane.  This particular plane will give the maxium variation in the link performance due to a rotation of the spacecraft.  All other "cuts" of the dipole gain will be less dramatic.  So, this placement for the dipole and the projection selected represents a worst case condition.
A new option (Option 6) has been added to this release of the link model.  It allows a higher gain antenna to be placed on the spacecraft in the event that the spacecraft being designed is in a MEO, HEO, GEO or a deep space orbit.  Option 6 assumes a dish antenna is to be used and that the roll-off of the antenna occurs as a sin</t>
        </r>
        <r>
          <rPr>
            <sz val="10"/>
            <color indexed="81"/>
            <rFont val="Symbol"/>
            <family val="1"/>
            <charset val="2"/>
          </rPr>
          <t>q</t>
        </r>
        <r>
          <rPr>
            <sz val="10"/>
            <color indexed="81"/>
            <rFont val="Arial"/>
            <family val="2"/>
          </rPr>
          <t>²</t>
        </r>
        <r>
          <rPr>
            <sz val="10"/>
            <color indexed="81"/>
            <rFont val="Tahoma"/>
            <family val="2"/>
          </rPr>
          <t>/</t>
        </r>
        <r>
          <rPr>
            <sz val="10"/>
            <color indexed="81"/>
            <rFont val="Symbol"/>
            <family val="1"/>
            <charset val="2"/>
          </rPr>
          <t>q</t>
        </r>
        <r>
          <rPr>
            <sz val="10"/>
            <color indexed="81"/>
            <rFont val="Arial"/>
            <family val="2"/>
          </rPr>
          <t>²</t>
        </r>
        <r>
          <rPr>
            <sz val="10"/>
            <color indexed="81"/>
            <rFont val="Tahoma"/>
            <family val="2"/>
          </rPr>
          <t xml:space="preserve"> function.  This roll-off rate will not be to terribly different from that of a yagi or helix antenna.  So, if you wish to place a high gain antenna on the spacecraft you may use Option 6 and adjust the gain of the dish to be the same as the antenna you will be using (such as a horn, yagi or helix).  The antenna pointing loss calculated should be close to the correct value for any selected pointing error.  The antenna is assumed to be placed on the +X surface of the spacecraft.</t>
        </r>
      </text>
    </comment>
    <comment ref="B30" authorId="0" shapeId="0" xr:uid="{00000000-0006-0000-0700-000002000000}">
      <text>
        <r>
          <rPr>
            <sz val="8"/>
            <color indexed="81"/>
            <rFont val="Tahoma"/>
            <family val="2"/>
          </rPr>
          <t xml:space="preserve">
</t>
        </r>
        <r>
          <rPr>
            <sz val="10"/>
            <color indexed="81"/>
            <rFont val="Tahoma"/>
            <family val="2"/>
          </rPr>
          <t>Notice that below are tables containing the same antenna options as have been presented in the "Antenna Gain" W/S.  However, you will also observe that the cells containing the option selection numbers now have</t>
        </r>
        <r>
          <rPr>
            <b/>
            <sz val="10"/>
            <color indexed="81"/>
            <rFont val="Tahoma"/>
            <family val="2"/>
          </rPr>
          <t xml:space="preserve"> black text</t>
        </r>
        <r>
          <rPr>
            <sz val="10"/>
            <color indexed="81"/>
            <rFont val="Tahoma"/>
            <family val="2"/>
          </rPr>
          <t xml:space="preserve">.  The tables are repated to provide the operator with a clear understanding of the key antenna characteristics already chosen while evaluating the antenna pointing errors and losses.  The operator must now select point errors for the ground station antennas and vector values for the direction of the ground station relative to the spacecraft coordinate system.  These are the angles </t>
        </r>
        <r>
          <rPr>
            <sz val="10"/>
            <color indexed="81"/>
            <rFont val="Arial"/>
            <family val="2"/>
          </rPr>
          <t>θ</t>
        </r>
        <r>
          <rPr>
            <sz val="8"/>
            <color indexed="81"/>
            <rFont val="Tahoma"/>
            <family val="2"/>
          </rPr>
          <t>1</t>
        </r>
        <r>
          <rPr>
            <sz val="10"/>
            <color indexed="81"/>
            <rFont val="Tahoma"/>
            <family val="2"/>
          </rPr>
          <t xml:space="preserve">, </t>
        </r>
        <r>
          <rPr>
            <sz val="10"/>
            <color indexed="81"/>
            <rFont val="Arial"/>
            <family val="2"/>
          </rPr>
          <t>θ</t>
        </r>
        <r>
          <rPr>
            <sz val="8"/>
            <color indexed="81"/>
            <rFont val="Tahoma"/>
            <family val="2"/>
          </rPr>
          <t>2</t>
        </r>
        <r>
          <rPr>
            <sz val="10"/>
            <color indexed="81"/>
            <rFont val="Tahoma"/>
            <family val="2"/>
          </rPr>
          <t xml:space="preserve">, </t>
        </r>
        <r>
          <rPr>
            <sz val="10"/>
            <color indexed="81"/>
            <rFont val="Arial"/>
            <family val="2"/>
          </rPr>
          <t>θ</t>
        </r>
        <r>
          <rPr>
            <sz val="8"/>
            <color indexed="81"/>
            <rFont val="Tahoma"/>
            <family val="2"/>
          </rPr>
          <t>3</t>
        </r>
        <r>
          <rPr>
            <sz val="10"/>
            <color indexed="81"/>
            <rFont val="Tahoma"/>
            <family val="2"/>
          </rPr>
          <t xml:space="preserve"> and </t>
        </r>
        <r>
          <rPr>
            <sz val="10"/>
            <color indexed="81"/>
            <rFont val="Arial"/>
            <family val="2"/>
          </rPr>
          <t>θ</t>
        </r>
        <r>
          <rPr>
            <sz val="8"/>
            <color indexed="81"/>
            <rFont val="Tahoma"/>
            <family val="2"/>
          </rPr>
          <t>4</t>
        </r>
        <r>
          <rPr>
            <sz val="10"/>
            <color indexed="81"/>
            <rFont val="Tahoma"/>
            <family val="2"/>
          </rPr>
          <t>.  The tables provide the pointing loss associated with these angle selections.  These loss values are then entered automatically into the "Uplink" and "Downlink" W/Ss.  
An interesting capability exists using this worksheet.  It is now possible to plot the resultant link performance, say the Eb/No, as a function of the ground station vector in the spacecraft coordinate system as the spacecraft rotates.  This allows one to determine over what fraction of 4</t>
        </r>
        <r>
          <rPr>
            <sz val="10"/>
            <color indexed="81"/>
            <rFont val="Symbol"/>
            <family val="1"/>
            <charset val="2"/>
          </rPr>
          <t>p</t>
        </r>
        <r>
          <rPr>
            <sz val="10"/>
            <color indexed="81"/>
            <rFont val="Tahoma"/>
            <family val="2"/>
          </rPr>
          <t xml:space="preserve"> steradians the link will "close."
Once you have selected the four antenna pointing losses, move on to the "Antenna Polarization Loss" W/S.</t>
        </r>
      </text>
    </comment>
    <comment ref="R32" authorId="0" shapeId="0" xr:uid="{00000000-0006-0000-0700-000003000000}">
      <text>
        <r>
          <rPr>
            <b/>
            <sz val="8"/>
            <color rgb="FF000000"/>
            <rFont val="Tahoma"/>
            <family val="2"/>
          </rPr>
          <t xml:space="preserve">
</t>
        </r>
        <r>
          <rPr>
            <b/>
            <sz val="8"/>
            <color rgb="FF000000"/>
            <rFont val="Tahoma"/>
            <family val="2"/>
          </rPr>
          <t xml:space="preserve">Please do not modify numbers or formulas in these columns.
</t>
        </r>
        <r>
          <rPr>
            <b/>
            <sz val="8"/>
            <color rgb="FF000000"/>
            <rFont val="Tahoma"/>
            <family val="2"/>
          </rPr>
          <t xml:space="preserve">
</t>
        </r>
        <r>
          <rPr>
            <sz val="10"/>
            <color rgb="FF000000"/>
            <rFont val="Tahoma"/>
            <family val="2"/>
          </rPr>
          <t xml:space="preserve">This column contains the functional relationships between the angles, </t>
        </r>
        <r>
          <rPr>
            <b/>
            <sz val="10"/>
            <color rgb="FF000000"/>
            <rFont val="Arial"/>
            <family val="2"/>
          </rPr>
          <t>θ</t>
        </r>
        <r>
          <rPr>
            <b/>
            <sz val="8"/>
            <color rgb="FF000000"/>
            <rFont val="Tahoma"/>
            <family val="2"/>
          </rPr>
          <t>1</t>
        </r>
        <r>
          <rPr>
            <sz val="10"/>
            <color rgb="FF000000"/>
            <rFont val="Tahoma"/>
            <family val="2"/>
          </rPr>
          <t xml:space="preserve"> thru </t>
        </r>
        <r>
          <rPr>
            <b/>
            <sz val="10"/>
            <color rgb="FF000000"/>
            <rFont val="Arial"/>
            <family val="2"/>
          </rPr>
          <t>θ</t>
        </r>
        <r>
          <rPr>
            <b/>
            <sz val="8"/>
            <color rgb="FF000000"/>
            <rFont val="Tahoma"/>
            <family val="2"/>
          </rPr>
          <t xml:space="preserve">4 </t>
        </r>
        <r>
          <rPr>
            <sz val="10"/>
            <color rgb="FF000000"/>
            <rFont val="Tahoma"/>
            <family val="2"/>
          </rPr>
          <t xml:space="preserve">and the gain roll-off.  The equations use a variety of forms and are taken from different sources.  
</t>
        </r>
        <r>
          <rPr>
            <sz val="10"/>
            <color rgb="FF000000"/>
            <rFont val="Tahoma"/>
            <family val="2"/>
          </rPr>
          <t xml:space="preserve">
</t>
        </r>
        <r>
          <rPr>
            <sz val="10"/>
            <color rgb="FF000000"/>
            <rFont val="Tahoma"/>
            <family val="2"/>
          </rPr>
          <t>You SHOULD modify the equation at Cell R60 and/or Cell R82 if you specify your own "User Defined" antenna.  The equation you provide should define the antenna loss as a function of the viewing angle θ and in the appropriate spacecaft plane.  Currently "plugged" into these cells is data for an isotropically radiating antenna.</t>
        </r>
        <r>
          <rPr>
            <sz val="8"/>
            <color rgb="FF000000"/>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6" authorId="0" shapeId="0" xr:uid="{00000000-0006-0000-0800-000001000000}">
      <text>
        <r>
          <rPr>
            <sz val="8"/>
            <color rgb="FF000000"/>
            <rFont val="Tahoma"/>
            <family val="2"/>
          </rPr>
          <t xml:space="preserve">
</t>
        </r>
        <r>
          <rPr>
            <sz val="8"/>
            <color rgb="FF000000"/>
            <rFont val="Tahoma"/>
            <family val="2"/>
          </rPr>
          <t xml:space="preserve">
</t>
        </r>
        <r>
          <rPr>
            <sz val="10"/>
            <color rgb="FF000000"/>
            <rFont val="Tahoma"/>
            <family val="2"/>
          </rPr>
          <t xml:space="preserve">This worksheet also relates to antennas.  It focuses on characterizing the polarization properties of the ground station and spacecraft antennas.  An antenna may generate E-field and H-field radiation in a fixed relationship relative to the body of the antenna.  Such an antenna is charaterized as having </t>
        </r>
        <r>
          <rPr>
            <i/>
            <sz val="10"/>
            <color rgb="FF000000"/>
            <rFont val="Tahoma"/>
            <family val="2"/>
          </rPr>
          <t>linear</t>
        </r>
        <r>
          <rPr>
            <sz val="10"/>
            <color rgb="FF000000"/>
            <rFont val="Tahoma"/>
            <family val="2"/>
          </rPr>
          <t xml:space="preserve"> polarization.  If the E-field is oriented parallel to the local horizon on Earth the antenna is said to be </t>
        </r>
        <r>
          <rPr>
            <i/>
            <sz val="10"/>
            <color rgb="FF000000"/>
            <rFont val="Tahoma"/>
            <family val="2"/>
          </rPr>
          <t>horizontally polarized</t>
        </r>
        <r>
          <rPr>
            <sz val="10"/>
            <color rgb="FF000000"/>
            <rFont val="Tahoma"/>
            <family val="2"/>
          </rPr>
          <t xml:space="preserve">.  If the B-field is oriented parallel to the local horizon then the antenna is </t>
        </r>
        <r>
          <rPr>
            <i/>
            <sz val="10"/>
            <color rgb="FF000000"/>
            <rFont val="Tahoma"/>
            <family val="2"/>
          </rPr>
          <t>vertically polarized</t>
        </r>
        <r>
          <rPr>
            <sz val="10"/>
            <color rgb="FF000000"/>
            <rFont val="Tahoma"/>
            <family val="2"/>
          </rPr>
          <t>.  If two independent planes of elements are used in an antenna system and the power is divided equally between them and the elements are fed 90</t>
        </r>
        <r>
          <rPr>
            <sz val="10"/>
            <color rgb="FF000000"/>
            <rFont val="Tahoma"/>
            <family val="2"/>
          </rPr>
          <t>°</t>
        </r>
        <r>
          <rPr>
            <sz val="9"/>
            <color rgb="FF000000"/>
            <rFont val="Tahoma"/>
            <family val="2"/>
          </rPr>
          <t xml:space="preserve"> </t>
        </r>
        <r>
          <rPr>
            <sz val="10"/>
            <color rgb="FF000000"/>
            <rFont val="Tahoma"/>
            <family val="2"/>
          </rPr>
          <t>out of phase from one another and if the elements are oriented perpendicular to one another, then a circularly polarized EM wave will be generated.  In such a case, the E-field and the H-field components of the wave will rotated in space as the EM field propagates away from the radiating antenna.  The rotation rate is at the carrier frequency.  So, a 100 MHz circularly polarized signal will make 100,000,000 full rotations per second.  If the phase of the first element leads the phase of the signal to the second element so as to generate a clockwise rotation as viewed from the back of the antenna, looking in the direction of the "launched" wave, then the polarization is said to have</t>
        </r>
        <r>
          <rPr>
            <i/>
            <sz val="10"/>
            <color rgb="FF000000"/>
            <rFont val="Tahoma"/>
            <family val="2"/>
          </rPr>
          <t xml:space="preserve"> right hand circular polarization </t>
        </r>
        <r>
          <rPr>
            <sz val="10"/>
            <color rgb="FF000000"/>
            <rFont val="Tahoma"/>
            <family val="2"/>
          </rPr>
          <t>(RHCP).  If the phase is swapped, then the rotation will be counter-clockwise in the same reference system and the antenna is said to have</t>
        </r>
        <r>
          <rPr>
            <i/>
            <sz val="10"/>
            <color rgb="FF000000"/>
            <rFont val="Tahoma"/>
            <family val="2"/>
          </rPr>
          <t xml:space="preserve"> left hand circular polarization</t>
        </r>
        <r>
          <rPr>
            <sz val="10"/>
            <color rgb="FF000000"/>
            <rFont val="Tahoma"/>
            <family val="2"/>
          </rPr>
          <t xml:space="preserve"> (LHCP).
</t>
        </r>
        <r>
          <rPr>
            <sz val="10"/>
            <color rgb="FF000000"/>
            <rFont val="Tahoma"/>
            <family val="2"/>
          </rPr>
          <t xml:space="preserve">
</t>
        </r>
        <r>
          <rPr>
            <sz val="10"/>
            <color rgb="FF000000"/>
            <rFont val="Tahoma"/>
            <family val="2"/>
          </rPr>
          <t xml:space="preserve">There is also an in-between polarization case.  If an antenna has two planes of orthogonal elements as discussed above but, the power delivered to the two planes is not equal, then the antenna will generate </t>
        </r>
        <r>
          <rPr>
            <i/>
            <sz val="10"/>
            <color rgb="FF000000"/>
            <rFont val="Tahoma"/>
            <family val="2"/>
          </rPr>
          <t>elliptical</t>
        </r>
        <r>
          <rPr>
            <sz val="10"/>
            <color rgb="FF000000"/>
            <rFont val="Tahoma"/>
            <family val="2"/>
          </rPr>
          <t xml:space="preserve"> polarization.  The E- and H- fields still rotate at the carrier frequency as in circular polarization but, a non-rotating elliptically polarized wave is generated.  The ellipse will have a fixed orientation with respect to the antenna radiators.  Usually the major axis of the ellipse will line up with the element receiving the most power.  If, at a distant location, a horizontally polarized  element is used to receiver the signal from an elliptically polarized antenna and if the horizontal antenna can be rotated slowly between horizontal and vertical it will be noticed that a maximum signal attitude and a minimum signal attitude can be found.  These two angles correspond to the major and minor axes (respectively) of the </t>
        </r>
        <r>
          <rPr>
            <i/>
            <sz val="10"/>
            <color rgb="FF000000"/>
            <rFont val="Tahoma"/>
            <family val="2"/>
          </rPr>
          <t>polarization ellipse</t>
        </r>
        <r>
          <rPr>
            <sz val="10"/>
            <color rgb="FF000000"/>
            <rFont val="Tahoma"/>
            <family val="2"/>
          </rPr>
          <t xml:space="preserve">.  One important issue in link analysis is, how much power loss is associated with the polarization properties of BOTH the transmit and the receive antennas?  The measure of ellipticity for a given transmit or receive antenna is known as its </t>
        </r>
        <r>
          <rPr>
            <i/>
            <sz val="10"/>
            <color rgb="FF000000"/>
            <rFont val="Tahoma"/>
            <family val="2"/>
          </rPr>
          <t>axial ratio</t>
        </r>
        <r>
          <rPr>
            <sz val="10"/>
            <color rgb="FF000000"/>
            <rFont val="Tahoma"/>
            <family val="2"/>
          </rPr>
          <t xml:space="preserve">.  The axial ratio is equal to 10 times the log to the base 10 of the ratio of the power measured in the major axis divided by the power measured in the minor axis.  Thus, the axial ratio of a perfectly circularly polarized antenna is 10log(.5/.5) = 0.  And a linear antenna has an axial ratio of 10log(1/0) = infinity, since all of the power is put into the major axis.  
</t>
        </r>
        <r>
          <rPr>
            <sz val="10"/>
            <color rgb="FF000000"/>
            <rFont val="Tahoma"/>
            <family val="2"/>
          </rPr>
          <t xml:space="preserve">
</t>
        </r>
        <r>
          <rPr>
            <sz val="10"/>
            <color rgb="FF000000"/>
            <rFont val="Tahoma"/>
            <family val="2"/>
          </rPr>
          <t xml:space="preserve">Here is an important point:  A spacecraft using a circularly polarized antenna (more or less omni-directional in gain) DOES NOT typically produce the same axial ratio in all directions.  Thus, to be perfectly general, to characterize the antenna system installed on a spacecraft one must meausre (ususally in a spherical coordinate system) BOTH the gain of the antenna as a function of two angles (say, </t>
        </r>
        <r>
          <rPr>
            <b/>
            <sz val="10"/>
            <color rgb="FF000000"/>
            <rFont val="Arial"/>
            <family val="2"/>
          </rPr>
          <t>θ</t>
        </r>
        <r>
          <rPr>
            <sz val="9"/>
            <color rgb="FF000000"/>
            <rFont val="Tahoma"/>
            <family val="2"/>
          </rPr>
          <t xml:space="preserve"> and </t>
        </r>
        <r>
          <rPr>
            <b/>
            <sz val="10"/>
            <color rgb="FF000000"/>
            <rFont val="Symbol"/>
            <family val="1"/>
            <charset val="2"/>
          </rPr>
          <t>j</t>
        </r>
        <r>
          <rPr>
            <sz val="10"/>
            <color rgb="FF000000"/>
            <rFont val="Symbol"/>
            <family val="1"/>
            <charset val="2"/>
          </rPr>
          <t xml:space="preserve">)  </t>
        </r>
        <r>
          <rPr>
            <sz val="10"/>
            <color rgb="FF000000"/>
            <rFont val="Tahoma"/>
            <family val="2"/>
          </rPr>
          <t xml:space="preserve">AND the axial ratio of the antenna as a function of </t>
        </r>
        <r>
          <rPr>
            <b/>
            <sz val="10"/>
            <color rgb="FF000000"/>
            <rFont val="Arial"/>
            <family val="2"/>
          </rPr>
          <t>θ</t>
        </r>
        <r>
          <rPr>
            <sz val="9"/>
            <color rgb="FF000000"/>
            <rFont val="Tahoma"/>
            <family val="2"/>
          </rPr>
          <t xml:space="preserve"> and </t>
        </r>
        <r>
          <rPr>
            <b/>
            <sz val="10"/>
            <color rgb="FF000000"/>
            <rFont val="Symbol"/>
            <family val="1"/>
            <charset val="2"/>
          </rPr>
          <t>j</t>
        </r>
        <r>
          <rPr>
            <sz val="10"/>
            <color rgb="FF000000"/>
            <rFont val="Symbol"/>
            <family val="1"/>
            <charset val="2"/>
          </rPr>
          <t xml:space="preserve">.  </t>
        </r>
        <r>
          <rPr>
            <sz val="10"/>
            <color rgb="FF000000"/>
            <rFont val="Tahoma"/>
            <family val="2"/>
          </rPr>
          <t xml:space="preserve">And, both of these parameters will affect the link performance of the system.  While gain plots are commonly provided or measured, axial ratio plots are not.  Yet, the axial ratio could case a very large signal loss just as a gain loss can.  Axial ratio plots are typically accomplished (when they are measured at all) by the technique hinted at above.  The spaceraft is placed in a two-axis rotating fixture (to set </t>
        </r>
        <r>
          <rPr>
            <b/>
            <sz val="10"/>
            <color rgb="FF000000"/>
            <rFont val="Arial"/>
            <family val="2"/>
          </rPr>
          <t>θ</t>
        </r>
        <r>
          <rPr>
            <sz val="10"/>
            <color rgb="FF000000"/>
            <rFont val="Arial"/>
            <family val="2"/>
          </rPr>
          <t xml:space="preserve"> and </t>
        </r>
        <r>
          <rPr>
            <b/>
            <sz val="10"/>
            <color rgb="FF000000"/>
            <rFont val="Symbol"/>
            <family val="1"/>
            <charset val="2"/>
          </rPr>
          <t>j</t>
        </r>
        <r>
          <rPr>
            <sz val="6.7"/>
            <color rgb="FF000000"/>
            <rFont val="Tahoma"/>
            <family val="2"/>
          </rPr>
          <t>)</t>
        </r>
        <r>
          <rPr>
            <sz val="10"/>
            <color rgb="FF000000"/>
            <rFont val="Tahoma"/>
            <family val="2"/>
          </rPr>
          <t xml:space="preserve"> and at a distant point a dipole (that rotates in a plane normal to the propagation direction between the transmitter and receiver) is set up.  At many attitudes of the spacecraft relative to the distant receive point, the "spinning dipole" records the sine wave produced by the polarization properties of the two antennas.  By noting the maximum signal power and the minimum signal power of the received wave the axial ratio can be computed for every desired value of </t>
        </r>
        <r>
          <rPr>
            <b/>
            <sz val="10"/>
            <color rgb="FF000000"/>
            <rFont val="Arial"/>
            <family val="2"/>
          </rPr>
          <t>θ</t>
        </r>
        <r>
          <rPr>
            <sz val="9"/>
            <color rgb="FF000000"/>
            <rFont val="Tahoma"/>
            <family val="2"/>
          </rPr>
          <t xml:space="preserve"> and </t>
        </r>
        <r>
          <rPr>
            <b/>
            <sz val="10"/>
            <color rgb="FF000000"/>
            <rFont val="Symbol"/>
            <family val="1"/>
            <charset val="2"/>
          </rPr>
          <t xml:space="preserve">j </t>
        </r>
        <r>
          <rPr>
            <sz val="10"/>
            <color rgb="FF000000"/>
            <rFont val="Tahoma"/>
            <family val="2"/>
          </rPr>
          <t xml:space="preserve">in the spacecraft coordinate system.  
</t>
        </r>
        <r>
          <rPr>
            <sz val="10"/>
            <color rgb="FF000000"/>
            <rFont val="Tahoma"/>
            <family val="2"/>
          </rPr>
          <t xml:space="preserve">
</t>
        </r>
        <r>
          <rPr>
            <sz val="10"/>
            <color rgb="FF000000"/>
            <rFont val="Tahoma"/>
            <family val="2"/>
          </rPr>
          <t xml:space="preserve">Polarization may be used as a means of isolation between two systems.  If one system uses horizontal polarizaton and the second uses vertical polarizaton and the two share the same frequency, then since the two systems operate </t>
        </r>
        <r>
          <rPr>
            <i/>
            <sz val="10"/>
            <color rgb="FF000000"/>
            <rFont val="Tahoma"/>
            <family val="2"/>
          </rPr>
          <t>orthoganlly</t>
        </r>
        <r>
          <rPr>
            <sz val="10"/>
            <color rgb="FF000000"/>
            <rFont val="Tahoma"/>
            <family val="2"/>
          </rPr>
          <t xml:space="preserve"> to one another they are isolated and can often share the same frequency.  The same is true if one system uses RHCP and the second uses LHCP.  For space systems, linear polarization isolation is hard to achieve except for geostationary systems where the satellite does not move or rotate relative to the observer.  Space systems can more easily achive polarization isolation using the two forms of circular polarization. 
</t>
        </r>
        <r>
          <rPr>
            <sz val="10"/>
            <color rgb="FF000000"/>
            <rFont val="Tahoma"/>
            <family val="2"/>
          </rPr>
          <t xml:space="preserve">
</t>
        </r>
        <r>
          <rPr>
            <sz val="10"/>
            <color rgb="FF000000"/>
            <rFont val="Tahoma"/>
            <family val="2"/>
          </rPr>
          <t xml:space="preserve">One last point:  The polarization of a linear antenna as it passes through the atmosphere/ionoshpere is rotated by electrons present along the path.  This phenominon is known as </t>
        </r>
        <r>
          <rPr>
            <i/>
            <sz val="10"/>
            <color rgb="FF000000"/>
            <rFont val="Tahoma"/>
            <family val="2"/>
          </rPr>
          <t>Faraday rotation</t>
        </r>
        <r>
          <rPr>
            <sz val="10"/>
            <color rgb="FF000000"/>
            <rFont val="Tahoma"/>
            <family val="2"/>
          </rPr>
          <t xml:space="preserve">.  This is a further property of satellite links that cases grief when using linear polarization.  The rotation amount in degrees or (one can also talk about the rate of change of the amount, in degrees/sec) is proportional to the total number of electrons contained within the column of particles between the ground station and the spacecraft and inversely proportional to the square of the frequency.   Thus, at frequencies above UHF, Faraday Rotation can be ingnored as a problem.  It is, however, a significant effect at VHF/UHF. 
</t>
        </r>
        <r>
          <rPr>
            <sz val="10"/>
            <color rgb="FF000000"/>
            <rFont val="Tahoma"/>
            <family val="2"/>
          </rPr>
          <t xml:space="preserve">
</t>
        </r>
      </text>
    </comment>
    <comment ref="B27" authorId="0" shapeId="0" xr:uid="{00000000-0006-0000-0800-000002000000}">
      <text>
        <r>
          <rPr>
            <sz val="8"/>
            <color rgb="FF000000"/>
            <rFont val="Tahoma"/>
            <family val="2"/>
          </rPr>
          <t xml:space="preserve">
</t>
        </r>
        <r>
          <rPr>
            <sz val="10"/>
            <color rgb="FF000000"/>
            <rFont val="Tahoma"/>
            <family val="2"/>
          </rPr>
          <t xml:space="preserve">These two tables allow you to determine the power loss and isolation between two antennas.  One table is for the uplink and the second is for the downlink.  You must first measure or estimate the axial ratio of all of the antennas in the system at the attitude case you have now selected in the "Antenna Pointing Losses" W/S.  [NOTE:  If this is an early phase of the design, assume either ideal properties such as perfect circularity or pick an axial ratio in the vacinity of say, 1 dB as a starting point].  Enter these vaues into the tables.  Now estimate the angle between the transmit and receive antenna polarization ellipses (the general case).  See the angle </t>
        </r>
        <r>
          <rPr>
            <sz val="10"/>
            <color rgb="FF000000"/>
            <rFont val="Arial"/>
            <family val="2"/>
          </rPr>
          <t>θ</t>
        </r>
        <r>
          <rPr>
            <sz val="9"/>
            <color rgb="FF000000"/>
            <rFont val="Tahoma"/>
            <family val="2"/>
          </rPr>
          <t xml:space="preserve"> </t>
        </r>
        <r>
          <rPr>
            <sz val="10"/>
            <color rgb="FF000000"/>
            <rFont val="Tahoma"/>
            <family val="2"/>
          </rPr>
          <t xml:space="preserve">in the adjacent figure.  [NOTE:  don't confuse this angle </t>
        </r>
        <r>
          <rPr>
            <sz val="10"/>
            <color rgb="FF000000"/>
            <rFont val="Arial"/>
            <family val="2"/>
          </rPr>
          <t>θ</t>
        </r>
        <r>
          <rPr>
            <sz val="9"/>
            <color rgb="FF000000"/>
            <rFont val="Tahoma"/>
            <family val="2"/>
          </rPr>
          <t xml:space="preserve"> </t>
        </r>
        <r>
          <rPr>
            <sz val="10"/>
            <color rgb="FF000000"/>
            <rFont val="Tahoma"/>
            <family val="2"/>
          </rPr>
          <t xml:space="preserve">with the spacecraft attitude component </t>
        </r>
        <r>
          <rPr>
            <b/>
            <sz val="10"/>
            <color rgb="FF000000"/>
            <rFont val="Arial"/>
            <family val="2"/>
          </rPr>
          <t>θ</t>
        </r>
        <r>
          <rPr>
            <sz val="10"/>
            <color rgb="FF000000"/>
            <rFont val="Arial"/>
            <family val="2"/>
          </rPr>
          <t>]</t>
        </r>
        <r>
          <rPr>
            <sz val="9"/>
            <color rgb="FF000000"/>
            <rFont val="Tahoma"/>
            <family val="2"/>
          </rPr>
          <t xml:space="preserve">.  </t>
        </r>
        <r>
          <rPr>
            <sz val="10"/>
            <color rgb="FF000000"/>
            <rFont val="Tahoma"/>
            <family val="2"/>
          </rPr>
          <t xml:space="preserve">The result will be the polarization loss between the two antennas at that angle.  
</t>
        </r>
        <r>
          <rPr>
            <sz val="10"/>
            <color rgb="FF000000"/>
            <rFont val="Tahoma"/>
            <family val="2"/>
          </rPr>
          <t xml:space="preserve">
</t>
        </r>
        <r>
          <rPr>
            <sz val="10"/>
            <color rgb="FF000000"/>
            <rFont val="Tahoma"/>
            <family val="2"/>
          </rPr>
          <t xml:space="preserve">The table also provides the isolation between two cross polarized circular antennas (one RHCP and one LHCP) using the same axial ratios. 
</t>
        </r>
        <r>
          <rPr>
            <sz val="10"/>
            <color rgb="FF000000"/>
            <rFont val="Tahoma"/>
            <family val="2"/>
          </rPr>
          <t xml:space="preserve">
</t>
        </r>
        <r>
          <rPr>
            <sz val="10"/>
            <color rgb="FF000000"/>
            <rFont val="Tahoma"/>
            <family val="2"/>
          </rPr>
          <t xml:space="preserve">The two polarizaton loss values, given at Cell [F40] and Cell [F60] are automatically transferred into the "Uplink" and "Downlink" budget W/Ss.  
</t>
        </r>
        <r>
          <rPr>
            <sz val="10"/>
            <color rgb="FF000000"/>
            <rFont val="Tahoma"/>
            <family val="2"/>
          </rPr>
          <t xml:space="preserve">
</t>
        </r>
        <r>
          <rPr>
            <sz val="10"/>
            <color rgb="FF000000"/>
            <rFont val="Tahoma"/>
            <family val="2"/>
          </rPr>
          <t xml:space="preserve">A table giving example resuts is provided at Cells [B70:J99].
</t>
        </r>
        <r>
          <rPr>
            <sz val="10"/>
            <color rgb="FF000000"/>
            <rFont val="Tahoma"/>
            <family val="2"/>
          </rPr>
          <t xml:space="preserve">
</t>
        </r>
        <r>
          <rPr>
            <sz val="10"/>
            <color rgb="FF000000"/>
            <rFont val="Tahoma"/>
            <family val="2"/>
          </rPr>
          <t xml:space="preserve">[NOTE:  A linear antenna may be adequately represented by assuming it's axial ratio is 30 dB.  From a practical standpoint, this value is approximately correct, as even a dipole will typically have a tiny orthogonal radiation component].
</t>
        </r>
        <r>
          <rPr>
            <sz val="10"/>
            <color rgb="FF000000"/>
            <rFont val="Tahoma"/>
            <family val="2"/>
          </rPr>
          <t xml:space="preserve">
</t>
        </r>
        <r>
          <rPr>
            <sz val="10"/>
            <color rgb="FF000000"/>
            <rFont val="Tahoma"/>
            <family val="2"/>
          </rPr>
          <t>After completing the entries to this W/S, proceed to the "Atmos. &amp; Ionos. Losses" W/S.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author>
    <author>customer</author>
  </authors>
  <commentList>
    <comment ref="F21" authorId="0" shapeId="0" xr:uid="{00000000-0006-0000-0900-000001000000}">
      <text>
        <r>
          <rPr>
            <sz val="8"/>
            <color rgb="FF000000"/>
            <rFont val="Tahoma"/>
            <family val="2"/>
          </rPr>
          <t xml:space="preserve">
</t>
        </r>
        <r>
          <rPr>
            <sz val="8"/>
            <color rgb="FF000000"/>
            <rFont val="Tahoma"/>
            <family val="2"/>
          </rPr>
          <t xml:space="preserve">For this version of this link model the Link Model Operator must manually change the Minimum Elevation Angle.  This parameter is used for the uplink and the downlink atmospheric losses.  So, for now, the uplink elevation angle and the downlink elevation angle must be the same.
</t>
        </r>
        <r>
          <rPr>
            <sz val="8"/>
            <color rgb="FF000000"/>
            <rFont val="Tahoma"/>
            <family val="2"/>
          </rPr>
          <t xml:space="preserve">
</t>
        </r>
        <r>
          <rPr>
            <sz val="8"/>
            <color rgb="FF000000"/>
            <rFont val="Tahoma"/>
            <family val="2"/>
          </rPr>
          <t>I am working on a better version of the model that will independently calculate both the uplink and downlink Atmospheric Losses for different orbits and for transponders as well as TTC links.  But, that version isn't ready yet.</t>
        </r>
      </text>
    </comment>
    <comment ref="C35" authorId="1" shapeId="0" xr:uid="{00000000-0006-0000-0900-000002000000}">
      <text>
        <r>
          <rPr>
            <sz val="10"/>
            <color indexed="81"/>
            <rFont val="Tahoma"/>
            <family val="2"/>
          </rPr>
          <t xml:space="preserve">
This is a link model operator selected value.  The value is chosen in the Orbit and Frequency W/S at Cell [C34].</t>
        </r>
        <r>
          <rPr>
            <sz val="8"/>
            <color indexed="81"/>
            <rFont val="Tahoma"/>
            <family val="2"/>
          </rPr>
          <t xml:space="preserve">
</t>
        </r>
      </text>
    </comment>
    <comment ref="C48" authorId="1" shapeId="0" xr:uid="{00000000-0006-0000-0900-000003000000}">
      <text>
        <r>
          <rPr>
            <sz val="8"/>
            <color indexed="81"/>
            <rFont val="Tahoma"/>
            <family val="2"/>
          </rPr>
          <t xml:space="preserve">
</t>
        </r>
        <r>
          <rPr>
            <sz val="10"/>
            <color indexed="81"/>
            <rFont val="Tahoma"/>
            <family val="2"/>
          </rPr>
          <t>This is a link model operator selected value.  The value is chosen in the Orbit and Frequency W/S at Cell [C40].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2" authorId="0" shapeId="0" xr:uid="{00000000-0006-0000-0A00-000001000000}">
      <text>
        <r>
          <rPr>
            <sz val="8"/>
            <color indexed="81"/>
            <rFont val="Tahoma"/>
            <family val="2"/>
          </rPr>
          <t xml:space="preserve">
</t>
        </r>
        <r>
          <rPr>
            <sz val="10"/>
            <color indexed="81"/>
            <rFont val="Tahoma"/>
            <family val="2"/>
          </rPr>
          <t xml:space="preserve">Finally, we have arrived at the last point in the link:  the demodulator/decoder portion of the receiver.  The demodulator will extract the data from a modulated signal and deliver it to either a FEC (forward error correction) decoding device (or piece of software) or directly to the ground station computer.  The FEC decoder, if one is used, will remove errors from the data using extra bits that are inserted, either into each byte or into a new form of "frame" (array or data block).  
Listed in the two tables below (one used for the uplink and the other for the downlink) are various forms of modulation typically used in spacecraft telemetry and command systems.  They are listed from the simplest (and poorest performing) type to the most complex (and best performing type).  The options selectable are:  Audio Frequecy Shift Keying on an FM Carrier, A special form of Frequency Shift Keying developed by Mr. James Miller - G3RUH, Non-Coherently Demodulated Frequency Shift Keying, Gaussian Minimum Shift Keying, Binary Phase Shift Keying and Quadriphase Phase Shift Keying.  You should refer to standard Communicaitons text books in order to investigate and understand the properties of these options. 
Also listed are the type of FEC decoding to be used.  Most of the options show no coding being used.  However, pairing an efficient modulation method such as BPSK with an FEC decoder provides HUGE advantages in terms of link performance.  Convolutional coding operates at the byte level and additional bits are added to each </t>
        </r>
        <r>
          <rPr>
            <i/>
            <sz val="10"/>
            <color indexed="81"/>
            <rFont val="Tahoma"/>
            <family val="2"/>
          </rPr>
          <t>word</t>
        </r>
        <r>
          <rPr>
            <sz val="10"/>
            <color indexed="81"/>
            <rFont val="Tahoma"/>
            <family val="2"/>
          </rPr>
          <t xml:space="preserve">.   Errors are corrected, however, on a (bit-by-bit) sequential basis.  The most popular of these methods is kown as a </t>
        </r>
        <r>
          <rPr>
            <i/>
            <sz val="10"/>
            <color indexed="81"/>
            <rFont val="Tahoma"/>
            <family val="2"/>
          </rPr>
          <t>Viterbi</t>
        </r>
        <r>
          <rPr>
            <sz val="10"/>
            <color indexed="81"/>
            <rFont val="Tahoma"/>
            <family val="2"/>
          </rPr>
          <t xml:space="preserve"> convolutional encoder/decoder system, named for Andrew Viterbi, the inventor.   Two parameters select the degree of coding.  R is the rate of the code (e.g., 1/2, 1/3, 1/6).  The rate defines how many symbols are transmitted per bit of information).  A rate 1/2 code contains two symbols of information for every bit.  The constraint length K, is the number of output symbols that are affected by a given input symbol.
Another very popular method of FEC coding is known as block coding.  The decoder operates on an entire block of data.  Extra coding bits are added to the end of the block.  The most popular of the block codes is known as Reed-Solomon after the inventors, although there are many other forms of block coding.  In RS coding, two parameters are again used (</t>
        </r>
        <r>
          <rPr>
            <i/>
            <sz val="10"/>
            <color indexed="81"/>
            <rFont val="Tahoma"/>
            <family val="2"/>
          </rPr>
          <t>n</t>
        </r>
        <r>
          <rPr>
            <sz val="10"/>
            <color indexed="81"/>
            <rFont val="Tahoma"/>
            <family val="2"/>
          </rPr>
          <t xml:space="preserve"> and</t>
        </r>
        <r>
          <rPr>
            <i/>
            <sz val="10"/>
            <color indexed="81"/>
            <rFont val="Tahoma"/>
            <family val="2"/>
          </rPr>
          <t xml:space="preserve"> k</t>
        </r>
        <r>
          <rPr>
            <sz val="10"/>
            <color indexed="81"/>
            <rFont val="Tahoma"/>
            <family val="2"/>
          </rPr>
          <t xml:space="preserve">).  The encoder codes a block of </t>
        </r>
        <r>
          <rPr>
            <i/>
            <sz val="10"/>
            <color indexed="81"/>
            <rFont val="Tahoma"/>
            <family val="2"/>
          </rPr>
          <t>n</t>
        </r>
        <r>
          <rPr>
            <sz val="10"/>
            <color indexed="81"/>
            <rFont val="Tahoma"/>
            <family val="2"/>
          </rPr>
          <t xml:space="preserve"> data information symbols (bits) into a block of </t>
        </r>
        <r>
          <rPr>
            <i/>
            <sz val="10"/>
            <color indexed="81"/>
            <rFont val="Tahoma"/>
            <family val="2"/>
          </rPr>
          <t>k</t>
        </r>
        <r>
          <rPr>
            <sz val="10"/>
            <color indexed="81"/>
            <rFont val="Tahoma"/>
            <family val="2"/>
          </rPr>
          <t xml:space="preserve"> codeword symbols.  Thus, errors are corrected at the block (or frame) level.   Both convolutional and block codes reduce the Eb/No required to achive a particular bit error rate. 
Currently, it is common to use two encoders at the transmitter in series (and two decoders in series at the receiver).  Such a process is called </t>
        </r>
        <r>
          <rPr>
            <i/>
            <sz val="10"/>
            <color indexed="81"/>
            <rFont val="Tahoma"/>
            <family val="2"/>
          </rPr>
          <t>concatenated</t>
        </r>
        <r>
          <rPr>
            <sz val="10"/>
            <color indexed="81"/>
            <rFont val="Tahoma"/>
            <family val="2"/>
          </rPr>
          <t xml:space="preserve"> coding.  Usually the first decoder will be a convolutional decoder followed by a block decoder.  This further reduces the Eb/No required at the demodulator input.   One important reason for considering the use of FEC coding is because contemporary microprocessors are fast enought to allow the decoder to be implemented entirely in software, even at moderate data rates (say up to 50,000 to 100,000 bps).  
The parameter listed in Column E is the bit error rate (B.E.R.).  It is the average number of errors that occur per bit transmitted.  Put the other way around a BER=1.00E-04 means that, on average, for every 10,000 bits transmitted one bit will be in error.  
The parmeter listed in Column F is the theoretical Eb/No required to achieve the bit error rate given in column E.  
These two tables allow the link model operator to select a modulation process and bit error rate appropriately matched to the satellite being developed.  As always there is a "User Defined" option, however, the operator must provide appropriate values for the type of modulation, the type of FEC coding used, the B.E.R. and the Eb/No Required.  
The value "Eb/No Threshold" in Cell [H5] and Cell [H32] are transferred to the "Uplink" and "Downlink" budget W/Ss.</t>
        </r>
      </text>
    </comment>
    <comment ref="B25" authorId="0" shapeId="0" xr:uid="{00000000-0006-0000-0A00-000002000000}">
      <text>
        <r>
          <rPr>
            <sz val="8"/>
            <color rgb="FF000000"/>
            <rFont val="Tahoma"/>
            <family val="2"/>
          </rPr>
          <t xml:space="preserve">
</t>
        </r>
        <r>
          <rPr>
            <sz val="10"/>
            <color rgb="FF000000"/>
            <rFont val="Tahoma"/>
            <family val="2"/>
          </rPr>
          <t xml:space="preserve">The demodulator hardware or software may not be perfect.  The difference between the theoretical value and the actual measured value of the Eb/No required to achieve any particular B.E.R. is known as the </t>
        </r>
        <r>
          <rPr>
            <i/>
            <sz val="10"/>
            <color rgb="FF000000"/>
            <rFont val="Tahoma"/>
            <family val="2"/>
          </rPr>
          <t>implementation loss</t>
        </r>
        <r>
          <rPr>
            <sz val="10"/>
            <color rgb="FF000000"/>
            <rFont val="Tahoma"/>
            <family val="2"/>
          </rPr>
          <t xml:space="preserve">.  If we add the implementation loss (usually measured for any particular design of demodulator) to the theoretical Eb/No Required we obtain a parameter, defined here as the </t>
        </r>
        <r>
          <rPr>
            <i/>
            <sz val="10"/>
            <color rgb="FF000000"/>
            <rFont val="Tahoma"/>
            <family val="2"/>
          </rPr>
          <t>Eb/No threshold</t>
        </r>
        <r>
          <rPr>
            <sz val="10"/>
            <color rgb="FF000000"/>
            <rFont val="Tahoma"/>
            <family val="2"/>
          </rPr>
          <t>.  If the link does not deliver an Eb/No equal to or greater than the Eb/No threshold, then the B.E.R. specification will be not be met and the link is therefore, said not to</t>
        </r>
        <r>
          <rPr>
            <i/>
            <sz val="10"/>
            <color rgb="FF000000"/>
            <rFont val="Tahoma"/>
            <family val="2"/>
          </rPr>
          <t xml:space="preserve"> close</t>
        </r>
        <r>
          <rPr>
            <sz val="10"/>
            <color rgb="FF000000"/>
            <rFont val="Tahoma"/>
            <family val="2"/>
          </rPr>
          <t xml:space="preserve">.
</t>
        </r>
        <r>
          <rPr>
            <sz val="10"/>
            <color rgb="FF000000"/>
            <rFont val="Tahoma"/>
            <family val="2"/>
          </rPr>
          <t xml:space="preserve">
</t>
        </r>
        <r>
          <rPr>
            <sz val="10"/>
            <color rgb="FF000000"/>
            <rFont val="Tahoma"/>
            <family val="2"/>
          </rPr>
          <t xml:space="preserve">As a practical matter, some guidelines can be provided for various types of demodulators.  AFSK and G3RUH/FSK involve two subsequent "concatenated" demodulation processes.  Both of these processes are non-linear.  As such, it is mathematically difficult, given any particular hardware implementation, to theoretically define the required Eb/No.  So, for these two types of demodulator the Eb/No required is usually measured.  For these choices given in the table (Options 1 through 4) you need not assume any implementation loss (value = 0) since the values provdied in Column F are measured performance values and already include the implementation loss.  The values are average for various decoder performance results provided in the literature.  Coherent and non-coherent FSK, GMSK, BPSK and QPSK all have well known  theoretical B.E.R. vs. Eb/No requirements.  (See Figure 1 below for BPSK vs. B.E.R. theoretical performance).  If one of the Options 5-14 is selected, an implementation loss of 1.0 dB is approximately correct if the demod is implemented in hardware and a value of 0.5 dB is appropriate if a "good" software decoder is used.  For demodulator/decoder options involving FEC, one would hope that the implementation losses would be 0.5 dB or less, otherwise the performance enhancement of the FEC decoder is being wasted.  
</t>
        </r>
        <r>
          <rPr>
            <sz val="10"/>
            <color rgb="FF000000"/>
            <rFont val="Tahoma"/>
            <family val="2"/>
          </rPr>
          <t xml:space="preserve">
</t>
        </r>
        <r>
          <rPr>
            <sz val="10"/>
            <color rgb="FF000000"/>
            <rFont val="Tahoma"/>
            <family val="2"/>
          </rPr>
          <t>Once you have selected the two system modulator/ demodulator options and estimated the implementation loss, move on to the "Uplink" W/S.</t>
        </r>
      </text>
    </comment>
    <comment ref="B54" authorId="0" shapeId="0" xr:uid="{00000000-0006-0000-0A00-000003000000}">
      <text>
        <r>
          <rPr>
            <sz val="8"/>
            <color indexed="81"/>
            <rFont val="Tahoma"/>
            <family val="2"/>
          </rPr>
          <t xml:space="preserve">
</t>
        </r>
        <r>
          <rPr>
            <b/>
            <sz val="8"/>
            <color indexed="81"/>
            <rFont val="Tahoma"/>
            <family val="2"/>
          </rPr>
          <t>Figure 1</t>
        </r>
        <r>
          <rPr>
            <sz val="8"/>
            <color indexed="81"/>
            <rFont val="Tahoma"/>
            <family val="2"/>
          </rPr>
          <t xml:space="preserve"> below is a plot for a BPSK system of the Eb/No achieved in the link vs. the ideal bit error rate of the system.  This is a classical plot.  BPSK is an ideal modulation method in that it can be lossless.   In fact, it is possible to actually build a </t>
        </r>
        <r>
          <rPr>
            <i/>
            <sz val="8"/>
            <color indexed="81"/>
            <rFont val="Tahoma"/>
            <family val="2"/>
          </rPr>
          <t>matched filter</t>
        </r>
        <r>
          <rPr>
            <sz val="8"/>
            <color indexed="81"/>
            <rFont val="Tahoma"/>
            <family val="2"/>
          </rPr>
          <t xml:space="preserve"> for this type of demodulator.  Without FEC coding, it is not possible to improve on this BER curve performance.  That is why BPSK is such a good choice for a telemetry system.  BPSK, however, does require more bandwidth than almost any other choice of modulator/demodulator.  So, as always, the best performance comes at a price.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1" authorId="0" shapeId="0" xr:uid="{00000000-0006-0000-0B00-000001000000}">
      <text>
        <r>
          <rPr>
            <sz val="8"/>
            <color indexed="81"/>
            <rFont val="Tahoma"/>
            <family val="2"/>
          </rPr>
          <t xml:space="preserve">
</t>
        </r>
        <r>
          <rPr>
            <sz val="10"/>
            <color indexed="81"/>
            <rFont val="Tahoma"/>
            <family val="2"/>
          </rPr>
          <t xml:space="preserve">This is the main uplink budget.  Most of the data needed for the link has been provided in prior W/Ss.  As such, this is the final (and formal) uplink budget.  The operator must provide a few user defined values.  
-  If a high microwave or mm wave frequency is used then rain losses become important.  The formal means of estimating rain losses is a statistically based process.  It is not discussed here.  If rain losses are an issue, then the best that can be done right now is to enter the rain loss that would represent the worst case loss for (99%, 99.9% or 99.99% of the time).  These can be obtained from various communicaitons texts for your region of the world. 
-  The operator must provide the data rate to be used for the command uplink.
-  If the S/N method of analysis is to be employed, the operator must provide the pre-demodulator bandpass filter bandwidth of the  receiver.
-  If the S/N method of analysis is to be employed, the operator must provide the required S/N for the analog or digital demodulation process being used.  This should be specified against some measure of the links performance such as B.E.R. or achieve audio S/N or some signal thresholding condition.
The comments to the right are intended to help the operator understand each step taken in the link budget.  If this information is not need, in particular if you want to print the link budget, click on the "1" in the upper left hand corner of the first row of this worksheet.  Similarly if you wish to "hide" either the Eb/No method or the S/N method subtables you may click on the "1" in the upper left hand corner of the first column of this worksheet.  Alternatively, you can click on the "-" sign by the beginning of Row 47 or Row 69 to hide the data you want.  Clicking on the appropriate "2" box in the upper left hand coner of this worksheet will restore all of the data.   </t>
        </r>
        <r>
          <rPr>
            <sz val="8"/>
            <color indexed="81"/>
            <rFont val="Tahoma"/>
            <family val="2"/>
          </rPr>
          <t xml:space="preserve">
</t>
        </r>
        <r>
          <rPr>
            <sz val="10"/>
            <color indexed="81"/>
            <rFont val="Tahoma"/>
            <family val="2"/>
          </rPr>
          <t>Once you have reviewed the Uplink data, move on to the "Downlink" W/S.</t>
        </r>
      </text>
    </comment>
    <comment ref="B27" authorId="0" shapeId="0" xr:uid="{00000000-0006-0000-0B00-000002000000}">
      <text>
        <r>
          <rPr>
            <sz val="8"/>
            <color rgb="FF000000"/>
            <rFont val="Tahoma"/>
            <family val="2"/>
          </rPr>
          <t xml:space="preserve">
</t>
        </r>
        <r>
          <rPr>
            <sz val="10"/>
            <color rgb="FF000000"/>
            <rFont val="Tahoma"/>
            <family val="2"/>
          </rPr>
          <t xml:space="preserve">Also known as the C/No, this value is already a useful result.  It is equivalent to the signal-to-noise ratio of this link if one were to use  a 1Hz wide data filter just ahead of the receiver demodulator.  This is the filter that limits the noise entering the demodulator and passes the signal in its final form. 
</t>
        </r>
        <r>
          <rPr>
            <sz val="10"/>
            <color rgb="FF000000"/>
            <rFont val="Tahoma"/>
            <family val="2"/>
          </rPr>
          <t xml:space="preserve"> 
</t>
        </r>
        <r>
          <rPr>
            <sz val="10"/>
            <color rgb="FF000000"/>
            <rFont val="Tahoma"/>
            <family val="2"/>
          </rPr>
          <t xml:space="preserve">This value is calculated by:
</t>
        </r>
        <r>
          <rPr>
            <sz val="10"/>
            <color rgb="FF000000"/>
            <rFont val="Tahoma"/>
            <family val="2"/>
          </rPr>
          <t xml:space="preserve">     S/No = Piso+(G/T)-K
</t>
        </r>
        <r>
          <rPr>
            <sz val="10"/>
            <color rgb="FF000000"/>
            <rFont val="Tahoma"/>
            <family val="2"/>
          </rPr>
          <t xml:space="preserve">     where:  K = Boltzman's Constant</t>
        </r>
      </text>
    </comment>
    <comment ref="B30" authorId="0" shapeId="0" xr:uid="{00000000-0006-0000-0B00-000003000000}">
      <text>
        <r>
          <rPr>
            <sz val="8"/>
            <color rgb="FF000000"/>
            <rFont val="Tahoma"/>
            <family val="2"/>
          </rPr>
          <t xml:space="preserve">
</t>
        </r>
        <r>
          <rPr>
            <sz val="10"/>
            <color rgb="FF000000"/>
            <rFont val="Tahoma"/>
            <family val="2"/>
          </rPr>
          <t xml:space="preserve">This is the "Energy per bit to Noise Power Density Ratio."  It is equivalent to the "Signal-to-Noise Ratio" and is the parameter of choice for digital links.  It is the measure of performance for this link.
</t>
        </r>
        <r>
          <rPr>
            <sz val="10"/>
            <color rgb="FF000000"/>
            <rFont val="Tahoma"/>
            <family val="2"/>
          </rPr>
          <t xml:space="preserve">
</t>
        </r>
        <r>
          <rPr>
            <sz val="10"/>
            <color rgb="FF000000"/>
            <rFont val="Tahoma"/>
            <family val="2"/>
          </rPr>
          <t xml:space="preserve">Once the S/No is known, the Eb/No is simply calculated by:  Eb/No = S/No -10log(R)
</t>
        </r>
        <r>
          <rPr>
            <sz val="10"/>
            <color rgb="FF000000"/>
            <rFont val="Tahoma"/>
            <family val="2"/>
          </rPr>
          <t>where R = data rate.</t>
        </r>
      </text>
    </comment>
    <comment ref="B41" authorId="0" shapeId="0" xr:uid="{00000000-0006-0000-0B00-000004000000}">
      <text>
        <r>
          <rPr>
            <sz val="10"/>
            <color rgb="FF000000"/>
            <rFont val="Tahoma"/>
            <family val="2"/>
          </rPr>
          <t xml:space="preserve">
</t>
        </r>
        <r>
          <rPr>
            <sz val="10"/>
            <color rgb="FF000000"/>
            <rFont val="Tahoma"/>
            <family val="2"/>
          </rPr>
          <t xml:space="preserve">This is the result of the Eb/No required theoretically for the modulation method selected plus any additional losses caused by imperfections in the demodulator design.  </t>
        </r>
      </text>
    </comment>
    <comment ref="B43" authorId="0" shapeId="0" xr:uid="{00000000-0006-0000-0B00-000005000000}">
      <text>
        <r>
          <rPr>
            <sz val="8"/>
            <color rgb="FF000000"/>
            <rFont val="Tahoma"/>
            <family val="2"/>
          </rPr>
          <t xml:space="preserve">
</t>
        </r>
        <r>
          <rPr>
            <sz val="10"/>
            <color rgb="FF000000"/>
            <rFont val="Tahoma"/>
            <family val="2"/>
          </rPr>
          <t>This is the bottom line.  This value must be &gt; 0.0 dB for the link to work or "close."  A target value should be approximately 10 dB for a low cost system, 6 dB for a professional system and 3 dB for a deep space system.</t>
        </r>
      </text>
    </comment>
    <comment ref="E47" authorId="0" shapeId="0" xr:uid="{00000000-0006-0000-0B00-000006000000}">
      <text>
        <r>
          <rPr>
            <sz val="10"/>
            <color indexed="81"/>
            <rFont val="Tahoma"/>
            <family val="2"/>
          </rPr>
          <t xml:space="preserve">
    </t>
        </r>
        <r>
          <rPr>
            <b/>
            <sz val="10"/>
            <color indexed="81"/>
            <rFont val="Tahoma"/>
            <family val="2"/>
          </rPr>
          <t>Signal to Noise Ratio (SNR or S/N)</t>
        </r>
        <r>
          <rPr>
            <sz val="10"/>
            <color indexed="81"/>
            <rFont val="Tahoma"/>
            <family val="2"/>
          </rPr>
          <t xml:space="preserve">
This is a more realistic method to use for a spacecraft command receiver.  The Eb/No method assumes the receiver uses a matched filter and assumes a spectral efficiency of 1 bps/Hz of bandwidth.  In this assumption the bandwidth in Hz is chosen eqaul to the bit rate (in bps).  As such, no excess bandwidth is assumed.  S/C receivers are typically not coherent and it is best to determine the final bandpass filter bandwidth and use it here in Cell [B57]  </t>
        </r>
        <r>
          <rPr>
            <sz val="8"/>
            <color indexed="81"/>
            <rFont val="Tahoma"/>
            <family val="2"/>
          </rPr>
          <t xml:space="preserve">
</t>
        </r>
      </text>
    </comment>
    <comment ref="H57" authorId="0" shapeId="0" xr:uid="{00000000-0006-0000-0B00-000007000000}">
      <text>
        <r>
          <rPr>
            <sz val="8"/>
            <color rgb="FF000000"/>
            <rFont val="Tahoma"/>
            <family val="2"/>
          </rPr>
          <t xml:space="preserve">
</t>
        </r>
        <r>
          <rPr>
            <sz val="8"/>
            <color rgb="FF000000"/>
            <rFont val="Tahoma"/>
            <family val="2"/>
          </rPr>
          <t>If you are using a coherent demodulator at the spacecraft and if a coding option is selected (Uplink Options 15-18 from the "Mod-Demod Method" W/S) then make sure the Spacecraft Receiver Bandwidth chosen includes the bandwidth required for the "Symbol Rate" modulation spectrum.  For example, if Viterbi Convoutional Coding were used with R=1/2 and K=7 then the symbol rate modulation spectrum is exactly twice that which would be occupied by the data only.   The filter must be twice as wide and this means the noise seen at the demodulator is 3 dB higher.  This will result in a reduction in the Signal to Noise Ratio of 3 dB.</t>
        </r>
      </text>
    </comment>
    <comment ref="B61" authorId="0" shapeId="0" xr:uid="{00000000-0006-0000-0B00-000008000000}">
      <text>
        <r>
          <rPr>
            <sz val="8"/>
            <color rgb="FF000000"/>
            <rFont val="Tahoma"/>
            <family val="2"/>
          </rPr>
          <t xml:space="preserve">
</t>
        </r>
        <r>
          <rPr>
            <sz val="10"/>
            <color rgb="FF000000"/>
            <rFont val="Tahoma"/>
            <family val="2"/>
          </rPr>
          <t xml:space="preserve">This is the S/N result of this uplink.  Note that typically it will be poorer (a lower value) than the Eb/No achieved for the link.  That is because the filter bandwidth is not exactly matched to the data spectral bandwidth.  In order to assure that the data spectrum is contained within the filter and in order to account for some doppler frequency errors on the part of the uplinking ground station the filter has a bandwidth (in Hz) larger than the data rate (in bps). </t>
        </r>
      </text>
    </comment>
    <comment ref="B65" authorId="0" shapeId="0" xr:uid="{00000000-0006-0000-0B00-000009000000}">
      <text>
        <r>
          <rPr>
            <sz val="8"/>
            <color rgb="FF000000"/>
            <rFont val="Tahoma"/>
            <family val="2"/>
          </rPr>
          <t xml:space="preserve">
</t>
        </r>
        <r>
          <rPr>
            <sz val="10"/>
            <color rgb="FF000000"/>
            <rFont val="Tahoma"/>
            <family val="2"/>
          </rPr>
          <t>This is the bottom line.  This value must be &gt; 0.0 dB for the link to work.  A target value should be approximately 10 dB for a low cost system, 6 dB for a professional system and 3 dB for a deep space system.</t>
        </r>
        <r>
          <rPr>
            <sz val="8"/>
            <color rgb="FF000000"/>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1" authorId="0" shapeId="0" xr:uid="{00000000-0006-0000-0C00-000001000000}">
      <text>
        <r>
          <rPr>
            <sz val="8"/>
            <color rgb="FF000000"/>
            <rFont val="Tahoma"/>
            <family val="2"/>
          </rPr>
          <t xml:space="preserve">
</t>
        </r>
        <r>
          <rPr>
            <sz val="10"/>
            <color rgb="FF000000"/>
            <rFont val="Tahoma"/>
            <family val="2"/>
          </rPr>
          <t xml:space="preserve">This is the main downlink budget.  Most of the data needed for the link has been provided in prior W/Ss.  As such, this is the final (and formal) uplink budget.  The operator must provide a few user defined values.  
</t>
        </r>
        <r>
          <rPr>
            <sz val="10"/>
            <color rgb="FF000000"/>
            <rFont val="Tahoma"/>
            <family val="2"/>
          </rPr>
          <t xml:space="preserve">
</t>
        </r>
        <r>
          <rPr>
            <sz val="10"/>
            <color rgb="FF000000"/>
            <rFont val="Tahoma"/>
            <family val="2"/>
          </rPr>
          <t xml:space="preserve">-  If a high microwave or mm wave frequency is used then rain losses become important.  The formal means of estimating rain losses is a statistically based process.  It is not discussed here.  If rain losses are an issue, then the best that can be done right now is to enter the rain loss that would represent the worst case loss for (99%, 99.9% or 99.99% of the time).  These can be obtained from various communicaitons texts for your region of the world. 
</t>
        </r>
        <r>
          <rPr>
            <sz val="10"/>
            <color rgb="FF000000"/>
            <rFont val="Tahoma"/>
            <family val="2"/>
          </rPr>
          <t xml:space="preserve">
</t>
        </r>
        <r>
          <rPr>
            <sz val="10"/>
            <color rgb="FF000000"/>
            <rFont val="Tahoma"/>
            <family val="2"/>
          </rPr>
          <t xml:space="preserve">-  The operator must provide the data rate to be used for the telemetry downlink.
</t>
        </r>
        <r>
          <rPr>
            <sz val="10"/>
            <color rgb="FF000000"/>
            <rFont val="Tahoma"/>
            <family val="2"/>
          </rPr>
          <t xml:space="preserve">
</t>
        </r>
        <r>
          <rPr>
            <sz val="10"/>
            <color rgb="FF000000"/>
            <rFont val="Tahoma"/>
            <family val="2"/>
          </rPr>
          <t xml:space="preserve">-  If the S/N method of analysis is to be employed, the operator must provide the pre-demodulator bandpass filter bandwidth of the  receiver.
</t>
        </r>
        <r>
          <rPr>
            <sz val="10"/>
            <color rgb="FF000000"/>
            <rFont val="Tahoma"/>
            <family val="2"/>
          </rPr>
          <t xml:space="preserve">
</t>
        </r>
        <r>
          <rPr>
            <sz val="10"/>
            <color rgb="FF000000"/>
            <rFont val="Tahoma"/>
            <family val="2"/>
          </rPr>
          <t xml:space="preserve">-  If the S/N method of analysis is to be employed, the operator must provide the required S/N for the analog or digital demodulation process being used.  This should be specified against some measure of the links performance such as B.E.R. or achieve audio S/N or some signal thresholding condition.
</t>
        </r>
        <r>
          <rPr>
            <sz val="10"/>
            <color rgb="FF000000"/>
            <rFont val="Tahoma"/>
            <family val="2"/>
          </rPr>
          <t xml:space="preserve">
</t>
        </r>
        <r>
          <rPr>
            <sz val="10"/>
            <color rgb="FF000000"/>
            <rFont val="Tahoma"/>
            <family val="2"/>
          </rPr>
          <t xml:space="preserve">The comments to the right are intended to help the operator understand each step taken in the link budget.  If this information is not need, in particular if you want to print the link budget, click on the "1" in the upper left hand corner of the first row of this worksheet.  Similarly if you wish to "hide" either the Eb/No method or the S/N method subtables you may click on the "1" in the upper left hand corner of the first column of this worksheet.  Alternatively, you can click on the "-" sign by the beginning of Row 46 or Row 67 to hide the data you want.  Clicking on the appropriate "2" box in the upper left hand coner of this worksheet will restore the data.  
</t>
        </r>
        <r>
          <rPr>
            <sz val="10"/>
            <color rgb="FF000000"/>
            <rFont val="Tahoma"/>
            <family val="2"/>
          </rPr>
          <t xml:space="preserve">
</t>
        </r>
        <r>
          <rPr>
            <sz val="10"/>
            <color rgb="FF000000"/>
            <rFont val="Tahoma"/>
            <family val="2"/>
          </rPr>
          <t xml:space="preserve">Once you have reviewed the Downlink data, move on to the "System Performance W/S." </t>
        </r>
        <r>
          <rPr>
            <sz val="8"/>
            <color rgb="FF000000"/>
            <rFont val="Tahoma"/>
            <family val="2"/>
          </rPr>
          <t xml:space="preserve">
</t>
        </r>
      </text>
    </comment>
    <comment ref="B27" authorId="0" shapeId="0" xr:uid="{00000000-0006-0000-0C00-000002000000}">
      <text>
        <r>
          <rPr>
            <sz val="10"/>
            <color rgb="FF000000"/>
            <rFont val="Tahoma"/>
            <family val="2"/>
          </rPr>
          <t xml:space="preserve">
</t>
        </r>
        <r>
          <rPr>
            <sz val="10"/>
            <color rgb="FF000000"/>
            <rFont val="Tahoma"/>
            <family val="2"/>
          </rPr>
          <t>Also known as the C/N</t>
        </r>
        <r>
          <rPr>
            <sz val="8"/>
            <color rgb="FF000000"/>
            <rFont val="Tahoma"/>
            <family val="2"/>
          </rPr>
          <t>o,</t>
        </r>
        <r>
          <rPr>
            <sz val="10"/>
            <color rgb="FF000000"/>
            <rFont val="Tahoma"/>
            <family val="2"/>
          </rPr>
          <t xml:space="preserve"> this value is already a useful result.  It is equivalent to the signal-to-noise ratio of this link if one were to use  a 1Hz wide data filter just ahead of the receiver demodulator.  This is the filter that limits the noise entering the demodulator and passes the signal in its final form. </t>
        </r>
        <r>
          <rPr>
            <sz val="8"/>
            <color rgb="FF000000"/>
            <rFont val="Tahoma"/>
            <family val="2"/>
          </rPr>
          <t xml:space="preserve">
</t>
        </r>
        <r>
          <rPr>
            <sz val="8"/>
            <color rgb="FF000000"/>
            <rFont val="Tahoma"/>
            <family val="2"/>
          </rPr>
          <t xml:space="preserve"> 
</t>
        </r>
        <r>
          <rPr>
            <sz val="10"/>
            <color rgb="FF000000"/>
            <rFont val="Tahoma"/>
            <family val="2"/>
          </rPr>
          <t xml:space="preserve">This value is calculated by:
</t>
        </r>
        <r>
          <rPr>
            <sz val="10"/>
            <color rgb="FF000000"/>
            <rFont val="Tahoma"/>
            <family val="2"/>
          </rPr>
          <t xml:space="preserve">     S/N</t>
        </r>
        <r>
          <rPr>
            <sz val="8"/>
            <color rgb="FF000000"/>
            <rFont val="Tahoma"/>
            <family val="2"/>
          </rPr>
          <t>o</t>
        </r>
        <r>
          <rPr>
            <sz val="10"/>
            <color rgb="FF000000"/>
            <rFont val="Tahoma"/>
            <family val="2"/>
          </rPr>
          <t xml:space="preserve"> = P</t>
        </r>
        <r>
          <rPr>
            <sz val="8"/>
            <color rgb="FF000000"/>
            <rFont val="Tahoma"/>
            <family val="2"/>
          </rPr>
          <t>iso</t>
        </r>
        <r>
          <rPr>
            <sz val="10"/>
            <color rgb="FF000000"/>
            <rFont val="Tahoma"/>
            <family val="2"/>
          </rPr>
          <t xml:space="preserve">+(G/T)-K
</t>
        </r>
        <r>
          <rPr>
            <sz val="10"/>
            <color rgb="FF000000"/>
            <rFont val="Tahoma"/>
            <family val="2"/>
          </rPr>
          <t xml:space="preserve">     where:  K = Boltzman's Constant
</t>
        </r>
      </text>
    </comment>
    <comment ref="B30" authorId="0" shapeId="0" xr:uid="{00000000-0006-0000-0C00-000003000000}">
      <text>
        <r>
          <rPr>
            <sz val="8"/>
            <color rgb="FF000000"/>
            <rFont val="Tahoma"/>
            <family val="2"/>
          </rPr>
          <t xml:space="preserve">
</t>
        </r>
        <r>
          <rPr>
            <sz val="10"/>
            <color rgb="FF000000"/>
            <rFont val="Tahoma"/>
            <family val="2"/>
          </rPr>
          <t xml:space="preserve">This is the "Energy per bit to Noise Power Density Ratio."  It is equivalent to the "Signal-to-Noise Ratio" and is the parameter of choice for digital links.  It is the measure of performance for this link.
</t>
        </r>
        <r>
          <rPr>
            <sz val="10"/>
            <color rgb="FF000000"/>
            <rFont val="Tahoma"/>
            <family val="2"/>
          </rPr>
          <t xml:space="preserve">
</t>
        </r>
        <r>
          <rPr>
            <sz val="10"/>
            <color rgb="FF000000"/>
            <rFont val="Tahoma"/>
            <family val="2"/>
          </rPr>
          <t>Once the S/N</t>
        </r>
        <r>
          <rPr>
            <sz val="8"/>
            <color rgb="FF000000"/>
            <rFont val="Tahoma"/>
            <family val="2"/>
          </rPr>
          <t xml:space="preserve">o is known, </t>
        </r>
        <r>
          <rPr>
            <sz val="10"/>
            <color rgb="FF000000"/>
            <rFont val="Tahoma"/>
            <family val="2"/>
          </rPr>
          <t>the E</t>
        </r>
        <r>
          <rPr>
            <sz val="8"/>
            <color rgb="FF000000"/>
            <rFont val="Tahoma"/>
            <family val="2"/>
          </rPr>
          <t>b</t>
        </r>
        <r>
          <rPr>
            <sz val="10"/>
            <color rgb="FF000000"/>
            <rFont val="Tahoma"/>
            <family val="2"/>
          </rPr>
          <t>/N</t>
        </r>
        <r>
          <rPr>
            <sz val="8"/>
            <color rgb="FF000000"/>
            <rFont val="Tahoma"/>
            <family val="2"/>
          </rPr>
          <t>o</t>
        </r>
        <r>
          <rPr>
            <sz val="10"/>
            <color rgb="FF000000"/>
            <rFont val="Tahoma"/>
            <family val="2"/>
          </rPr>
          <t xml:space="preserve"> is simply calculated by:  E</t>
        </r>
        <r>
          <rPr>
            <sz val="8"/>
            <color rgb="FF000000"/>
            <rFont val="Tahoma"/>
            <family val="2"/>
          </rPr>
          <t>b</t>
        </r>
        <r>
          <rPr>
            <sz val="10"/>
            <color rgb="FF000000"/>
            <rFont val="Tahoma"/>
            <family val="2"/>
          </rPr>
          <t>/N</t>
        </r>
        <r>
          <rPr>
            <sz val="8"/>
            <color rgb="FF000000"/>
            <rFont val="Tahoma"/>
            <family val="2"/>
          </rPr>
          <t>o</t>
        </r>
        <r>
          <rPr>
            <sz val="10"/>
            <color rgb="FF000000"/>
            <rFont val="Tahoma"/>
            <family val="2"/>
          </rPr>
          <t xml:space="preserve"> = S/N</t>
        </r>
        <r>
          <rPr>
            <sz val="8"/>
            <color rgb="FF000000"/>
            <rFont val="Tahoma"/>
            <family val="2"/>
          </rPr>
          <t>o</t>
        </r>
        <r>
          <rPr>
            <sz val="10"/>
            <color rgb="FF000000"/>
            <rFont val="Tahoma"/>
            <family val="2"/>
          </rPr>
          <t xml:space="preserve"> -10log(R)
</t>
        </r>
        <r>
          <rPr>
            <sz val="10"/>
            <color rgb="FF000000"/>
            <rFont val="Tahoma"/>
            <family val="2"/>
          </rPr>
          <t xml:space="preserve">where R = data rate.
</t>
        </r>
        <r>
          <rPr>
            <sz val="10"/>
            <color rgb="FF000000"/>
            <rFont val="Tahoma"/>
            <family val="2"/>
          </rPr>
          <t xml:space="preserve">            </t>
        </r>
      </text>
    </comment>
    <comment ref="B41" authorId="0" shapeId="0" xr:uid="{00000000-0006-0000-0C00-000004000000}">
      <text>
        <r>
          <rPr>
            <sz val="10"/>
            <color rgb="FF000000"/>
            <rFont val="Tahoma"/>
            <family val="2"/>
          </rPr>
          <t xml:space="preserve">
</t>
        </r>
        <r>
          <rPr>
            <sz val="10"/>
            <color rgb="FF000000"/>
            <rFont val="Tahoma"/>
            <family val="2"/>
          </rPr>
          <t xml:space="preserve">This is the result of the Eb/No required theoretically for the modulation method selected plus any additional losses caused by imperfections in the demodulator design.  </t>
        </r>
      </text>
    </comment>
    <comment ref="B43" authorId="0" shapeId="0" xr:uid="{00000000-0006-0000-0C00-000005000000}">
      <text>
        <r>
          <rPr>
            <sz val="8"/>
            <color rgb="FF000000"/>
            <rFont val="Tahoma"/>
            <family val="2"/>
          </rPr>
          <t xml:space="preserve">
</t>
        </r>
        <r>
          <rPr>
            <sz val="10"/>
            <color rgb="FF000000"/>
            <rFont val="Tahoma"/>
            <family val="2"/>
          </rPr>
          <t>This is the bottom line.  This value must be &gt; 0.0 dB for the link to work or "close."  A target value should be approximately 10 dB for a low cost system, 6 dB for a professional system and 3 dB for a deep space system.</t>
        </r>
      </text>
    </comment>
    <comment ref="H56" authorId="0" shapeId="0" xr:uid="{00000000-0006-0000-0C00-000006000000}">
      <text>
        <r>
          <rPr>
            <sz val="8"/>
            <color indexed="81"/>
            <rFont val="Tahoma"/>
            <family val="2"/>
          </rPr>
          <t xml:space="preserve">
If you are using a coherent demodulator at the spacecraft and if a coding option is selected (Downlink Options 15-19 from the "Mod-Demod Method" W/S) then make sure the Spacecraft Receiver Bandwidth chosen includes the bandwidth required for the "Symbol Rate" modulation spectrum.  For example, if Viterbi Convoutional Coding were used with R=1/2 and K=7 then the symbol rate modulation spectrum is exactly twice that which would be occupied by the data only.   The filter must be twice as wide and this means the noise seen at the demodulator is 3 dB higher.  This will result in a reduction in the Signal to Noise Ratio of 3 dB.
</t>
        </r>
      </text>
    </comment>
    <comment ref="B60" authorId="0" shapeId="0" xr:uid="{00000000-0006-0000-0C00-000007000000}">
      <text>
        <r>
          <rPr>
            <sz val="8"/>
            <color rgb="FF000000"/>
            <rFont val="Tahoma"/>
            <family val="2"/>
          </rPr>
          <t xml:space="preserve">
</t>
        </r>
        <r>
          <rPr>
            <sz val="10"/>
            <color rgb="FF000000"/>
            <rFont val="Tahoma"/>
            <family val="2"/>
          </rPr>
          <t>This is the S/N result of this downlink.  Note that typically it will be poorer (a lower value) than the Eb/No achieved for the link.  That is because the filter bandwidth may not exactly be matched to the downlink signal modulation spectrum.  In order to assure that the data spectrum is contained within the filter and in order to account for some doppler frequency errors on the downlink the filter often has a bandwidth (in Hz) larger than the data rate (in bps).  In that case this calculation method is more appropriate.</t>
        </r>
      </text>
    </comment>
    <comment ref="B64" authorId="0" shapeId="0" xr:uid="{00000000-0006-0000-0C00-000008000000}">
      <text>
        <r>
          <rPr>
            <sz val="8"/>
            <color rgb="FF000000"/>
            <rFont val="Tahoma"/>
            <family val="2"/>
          </rPr>
          <t xml:space="preserve">
</t>
        </r>
        <r>
          <rPr>
            <sz val="10"/>
            <color rgb="FF000000"/>
            <rFont val="Tahoma"/>
            <family val="2"/>
          </rPr>
          <t>This is the bottom line.  This value must be &gt; 0.0 dB for the link to work.  A target value should be approximately 10 dB for a low cost system, 6 dB for a professional system and 3 dB for a deep space system.</t>
        </r>
        <r>
          <rPr>
            <sz val="8"/>
            <color rgb="FF000000"/>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A9" authorId="0" shapeId="0" xr:uid="{00000000-0006-0000-0D00-000001000000}">
      <text>
        <r>
          <rPr>
            <sz val="8"/>
            <color indexed="81"/>
            <rFont val="Tahoma"/>
            <family val="2"/>
          </rPr>
          <t xml:space="preserve">
</t>
        </r>
        <r>
          <rPr>
            <sz val="10"/>
            <color indexed="81"/>
            <rFont val="Tahoma"/>
            <family val="2"/>
          </rPr>
          <t>This is a block diagram of the command and telemetry link systems.  It contains all of the data selected by the link model operator.  It represents a high level specification for the command and telemetry equipment in the spacecraft and the ground station.  This can be printed as a final result, all or in part, as may be useful to the operator or other project members.  
Key losses associated with the link are summarized in this system performance summary.  The values are located in the middle of the W/S in the "Radio Link" area.
Only one operator selection is needed in this W/S.  At Cell [O12], the efficiency of the transmitter [</t>
        </r>
        <r>
          <rPr>
            <b/>
            <sz val="10"/>
            <color indexed="81"/>
            <rFont val="Symbol"/>
            <family val="1"/>
            <charset val="2"/>
          </rPr>
          <t>h</t>
        </r>
        <r>
          <rPr>
            <b/>
            <sz val="8"/>
            <color indexed="81"/>
            <rFont val="Tahoma"/>
            <family val="2"/>
          </rPr>
          <t xml:space="preserve">Tx </t>
        </r>
        <r>
          <rPr>
            <sz val="10"/>
            <color indexed="81"/>
            <rFont val="Tahoma"/>
            <family val="2"/>
          </rPr>
          <t xml:space="preserve">=(RF Output Power/DC Input Power)X100] is entered.  The W/S calculates the DC power required to be delivered to the transmitter and the amount of heat dissipated by the transmitter (See Cell[O14] and Cell [O16].)  
Notice the cells in the two regions of the W/S, [E5:G7] and [N107:P109].  They contain the final results of both links.  The color of the results boxes will change, depending on the performance achieved.  The colors are as follows:
- GREEN:   Link margin &gt; 6 dB.  "Link Closes"
-YELLOW:  Link margin &gt; 0 dB but, &lt; 6 dB.  "Link Marginal"
-RED:        Link margin &lt; 0 dB.  "No Link!"
Everything else in the "Systems Performance Summary" should be self-explanitory.  After you have reviewed the System Performance Summary, you may want to review some of the design tools that support the Link Model System, including:
"S/C Antenna Patterns", "Beam Roll-Off Tool", "Beam Roll-Off Plot", "Line Loss Tools &amp; Tables", and "VSWR Loss Tool".  The "Orbit Shape Data" should not be modified by the link model operator.   In a later verions this W/S may be used to provide options for eliptical orbits or planetary (Earth escape missions). </t>
        </r>
      </text>
    </comment>
    <comment ref="O12" authorId="0" shapeId="0" xr:uid="{00000000-0006-0000-0D00-000002000000}">
      <text>
        <r>
          <rPr>
            <sz val="10"/>
            <color indexed="81"/>
            <rFont val="Tahoma"/>
            <family val="2"/>
          </rPr>
          <t xml:space="preserve">
Operator Enter Transmitter DC to RF Power Efficiency</t>
        </r>
        <r>
          <rPr>
            <sz val="8"/>
            <color indexed="81"/>
            <rFont val="Tahoma"/>
            <family val="2"/>
          </rPr>
          <t xml:space="preserve">
</t>
        </r>
      </text>
    </comment>
    <comment ref="O14" authorId="0" shapeId="0" xr:uid="{00000000-0006-0000-0D00-000003000000}">
      <text>
        <r>
          <rPr>
            <sz val="8"/>
            <color indexed="81"/>
            <rFont val="Tahoma"/>
            <family val="2"/>
          </rPr>
          <t xml:space="preserve">
</t>
        </r>
        <r>
          <rPr>
            <sz val="10"/>
            <color indexed="81"/>
            <rFont val="Tahoma"/>
            <family val="2"/>
          </rPr>
          <t>This is the DC power required whenever the Spacecraft Transmitter is ON.  This should be passed on to the Spacecraft Power Subsystem analysis process.</t>
        </r>
        <r>
          <rPr>
            <sz val="8"/>
            <color indexed="81"/>
            <rFont val="Tahoma"/>
            <family val="2"/>
          </rPr>
          <t xml:space="preserve">
</t>
        </r>
      </text>
    </comment>
    <comment ref="O16" authorId="0" shapeId="0" xr:uid="{00000000-0006-0000-0D00-000004000000}">
      <text>
        <r>
          <rPr>
            <sz val="8"/>
            <color indexed="81"/>
            <rFont val="Tahoma"/>
            <family val="2"/>
          </rPr>
          <t xml:space="preserve">
</t>
        </r>
        <r>
          <rPr>
            <sz val="10"/>
            <color indexed="81"/>
            <rFont val="Tahoma"/>
            <family val="2"/>
          </rPr>
          <t>This is the  thermal heat that must be dissipated by the transmitter.  This value should be passed on to the Spacecraft Thermal analysis process.</t>
        </r>
        <r>
          <rPr>
            <sz val="8"/>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A6" authorId="0" shapeId="0" xr:uid="{00000000-0006-0000-0E00-000001000000}">
      <text>
        <r>
          <rPr>
            <sz val="8"/>
            <color indexed="81"/>
            <rFont val="Tahoma"/>
            <family val="2"/>
          </rPr>
          <t xml:space="preserve">
</t>
        </r>
        <r>
          <rPr>
            <sz val="10"/>
            <color indexed="81"/>
            <rFont val="Tahoma"/>
            <family val="2"/>
          </rPr>
          <t>This worksheet allows the link model operator to visualize several classical antenna patterns used in spacecraft design.  The patterns given here are undistorted by the effects of the structure, which for very small spacecraft, are considerable.  
For example, the monopole pattern as given here, assumes that a perfect groundplane exists below the 1/4</t>
        </r>
        <r>
          <rPr>
            <sz val="10"/>
            <color indexed="81"/>
            <rFont val="Symbol"/>
            <charset val="2"/>
          </rPr>
          <t>l</t>
        </r>
        <r>
          <rPr>
            <sz val="10"/>
            <color indexed="81"/>
            <rFont val="Tahoma"/>
            <family val="2"/>
          </rPr>
          <t xml:space="preserve"> radiating element.  A small spacecraft is far from an infinite conducting plane.  In fact, for a picosat cubic structure, a quarter wave element on the top of the cube will produce a nearly perfect</t>
        </r>
        <r>
          <rPr>
            <i/>
            <sz val="10"/>
            <color indexed="81"/>
            <rFont val="Tahoma"/>
            <family val="2"/>
          </rPr>
          <t xml:space="preserve"> dipole </t>
        </r>
        <r>
          <rPr>
            <sz val="10"/>
            <color indexed="81"/>
            <rFont val="Tahoma"/>
            <family val="2"/>
          </rPr>
          <t xml:space="preserve">pattern rather than the monopole pattern given here.  The turnstyle or canted turnstyle antenna patterns given will still be quite accurate when placed on small symmetic stuctures.  The quadrifilar helix is likely to be the  least effected by the structure on which it is mounted, since it does not require a ground plane of any kind to form its pattern.  The patch antenna is probably an in-between case and will be influenced by the structure to a considerable extent.
A tool is now available at very reasonable cost that will allow anyone interested, to properly model the effects of a spacecraft (or any other sturcture) on a radiating antenna system.  The software is called EZNEC and is available on-line at </t>
        </r>
        <r>
          <rPr>
            <sz val="10"/>
            <color indexed="12"/>
            <rFont val="Tahoma"/>
            <family val="2"/>
          </rPr>
          <t>http://www.eznec.com</t>
        </r>
        <r>
          <rPr>
            <sz val="10"/>
            <color indexed="81"/>
            <rFont val="Tahoma"/>
            <family val="2"/>
          </rPr>
          <t>.    Some of the patterns given here made use of this software.  You should consider obtaining EZNEC+4 as that version supports circularly polarized antenna systems.  Future releases of this link model will include pattern data using realistic space flight structures.  This recent finding on my part means I can't complete the work required to produce the modified patterns prior to this release.  I think you will find the use of EZNEC an enjoyable exercise and it will show you how far we have come from Maxwell's vector calculus equations.  He would be amazed and delighted at our modern tools, I'm sure.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A5" authorId="0" shapeId="0" xr:uid="{00000000-0006-0000-0F00-000001000000}">
      <text>
        <r>
          <rPr>
            <sz val="8"/>
            <color indexed="81"/>
            <rFont val="Tahoma"/>
            <family val="2"/>
          </rPr>
          <t xml:space="preserve">
NOTE:  In this case, the frequency should be expressed in GHz.
</t>
        </r>
      </text>
    </comment>
    <comment ref="A6" authorId="0" shapeId="0" xr:uid="{00000000-0006-0000-0F00-000002000000}">
      <text>
        <r>
          <rPr>
            <sz val="9"/>
            <color indexed="81"/>
            <rFont val="Tahoma"/>
            <family val="2"/>
          </rPr>
          <t xml:space="preserve">
The physical diameter of a dish antenna or, alternatively, the diameter of an alternative antenna's effective aperture.</t>
        </r>
        <r>
          <rPr>
            <sz val="8"/>
            <color indexed="81"/>
            <rFont val="Tahoma"/>
            <family val="2"/>
          </rPr>
          <t xml:space="preserve">
</t>
        </r>
      </text>
    </comment>
    <comment ref="A7" authorId="0" shapeId="0" xr:uid="{00000000-0006-0000-0F00-000003000000}">
      <text>
        <r>
          <rPr>
            <sz val="9"/>
            <color indexed="81"/>
            <rFont val="Tahoma"/>
            <family val="2"/>
          </rPr>
          <t xml:space="preserve">
The illumination efficiency of the dish.  If you are uncertain about this value use approximately 55%.</t>
        </r>
        <r>
          <rPr>
            <sz val="8"/>
            <color indexed="81"/>
            <rFont val="Tahoma"/>
            <family val="2"/>
          </rPr>
          <t xml:space="preserve">
</t>
        </r>
      </text>
    </comment>
    <comment ref="A9" authorId="0" shapeId="0" xr:uid="{00000000-0006-0000-0F00-000004000000}">
      <text>
        <r>
          <rPr>
            <sz val="8"/>
            <color indexed="81"/>
            <rFont val="Tahoma"/>
            <family val="2"/>
          </rPr>
          <t xml:space="preserve">
</t>
        </r>
        <r>
          <rPr>
            <sz val="10"/>
            <color indexed="81"/>
            <rFont val="Tahoma"/>
            <family val="2"/>
          </rPr>
          <t>This is a tool for determining the performance of a small (and simple) parabolic reflector.  It uses a sin</t>
        </r>
        <r>
          <rPr>
            <sz val="10"/>
            <color indexed="81"/>
            <rFont val="Arial"/>
            <family val="2"/>
          </rPr>
          <t>²θ</t>
        </r>
        <r>
          <rPr>
            <sz val="10"/>
            <color indexed="81"/>
            <rFont val="Tahoma"/>
            <family val="2"/>
          </rPr>
          <t>/</t>
        </r>
        <r>
          <rPr>
            <sz val="10"/>
            <color indexed="81"/>
            <rFont val="Arial"/>
            <family val="2"/>
          </rPr>
          <t>θ²</t>
        </r>
        <r>
          <rPr>
            <sz val="10"/>
            <color indexed="81"/>
            <rFont val="Tahoma"/>
            <family val="2"/>
          </rPr>
          <t xml:space="preserve"> representation of the antenna directivity.  This is appropriate for simple feeds with relatively poor aperture illumination efficiency.  The first sidelobes are only reduced by ("down") 14 dB.  Optimized dishes will have first sidelobes as much as 22 dB down.  Still this is an excellent first cut  method to see what the directivity of a parabolic reflector looks like.  
Try to accurately estimate the aperture illumination efficiency.  If you do not know what it is for your system then a reasonable starting value is 55%.
This is a tool so no data is entered into the interconnected group of earlier W/Ss.  The results from this W/S are graphically represented in the next W/S ("Beam Roll-Off Plot").  The tabluar form of the data is given in this W/S so that one can numerically identify the angle and amplitude values for each sidelobe peak and null.  The key results of the W/S are the peak gain and -3 dB beamwidth of the antenna.  
NOTE:  The data in the table is for the one-sided angle measured from the boresight to roll-off point of interest.  So the value in column I is 1/2 of the two sided value.  (e.g., the -3dB beamwidth of the the starter antenna is 2X5.5</t>
        </r>
        <r>
          <rPr>
            <sz val="10"/>
            <color indexed="81"/>
            <rFont val="Arial"/>
            <family val="2"/>
          </rPr>
          <t>°</t>
        </r>
        <r>
          <rPr>
            <sz val="10"/>
            <color indexed="81"/>
            <rFont val="Tahoma"/>
            <family val="2"/>
          </rPr>
          <t>. = 11.0</t>
        </r>
        <r>
          <rPr>
            <sz val="10"/>
            <color indexed="81"/>
            <rFont val="Arial"/>
            <family val="2"/>
          </rPr>
          <t>°)</t>
        </r>
        <r>
          <rPr>
            <sz val="10"/>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4" authorId="0" shapeId="0" xr:uid="{00000000-0006-0000-1100-000001000000}">
      <text>
        <r>
          <rPr>
            <sz val="8"/>
            <color indexed="81"/>
            <rFont val="Tahoma"/>
            <family val="2"/>
          </rPr>
          <t xml:space="preserve">
</t>
        </r>
        <r>
          <rPr>
            <sz val="10"/>
            <color indexed="81"/>
            <rFont val="Tahoma"/>
            <family val="2"/>
          </rPr>
          <t xml:space="preserve">After reviewing available information on the Internet it was decided that for ordinary coax cables that are routinely found in ground systems, many cable loss charts and even caclulators have already been developed.  The best of the calculators and loss tables are referenced here and these will be distributed along with the link model itself.  Remember to use or translate the length units from feet to meters as you will no doubt want to use metric measure in your project.  The data sources are international.
One url reference is also given that provides losses for standard waveguide products (in terms of loss per length).  
For spacecaft coax cabling, it is harder to find loss data so an effort has been made here to provide loss data for miniature coax cables and semi-ridgid lines suitable for space use (e.g. made from non-outgassing "clean" materials).  </t>
        </r>
        <r>
          <rPr>
            <sz val="8"/>
            <color indexed="81"/>
            <rFont val="Tahoma"/>
            <family val="2"/>
          </rPr>
          <t xml:space="preserve">
</t>
        </r>
        <r>
          <rPr>
            <sz val="10"/>
            <color indexed="81"/>
            <rFont val="Tahoma"/>
            <family val="2"/>
          </rPr>
          <t>Cable loss data developed from these tables and caluclators may be used as input information to the "Transmitters" and "Receivers" worksheets for the values L</t>
        </r>
        <r>
          <rPr>
            <sz val="8"/>
            <color indexed="81"/>
            <rFont val="Tahoma"/>
            <family val="2"/>
          </rPr>
          <t>A</t>
        </r>
        <r>
          <rPr>
            <sz val="10"/>
            <color indexed="81"/>
            <rFont val="Tahoma"/>
            <family val="2"/>
          </rPr>
          <t>, L</t>
        </r>
        <r>
          <rPr>
            <sz val="8"/>
            <color indexed="81"/>
            <rFont val="Tahoma"/>
            <family val="2"/>
          </rPr>
          <t>B</t>
        </r>
        <r>
          <rPr>
            <sz val="10"/>
            <color indexed="81"/>
            <rFont val="Tahoma"/>
            <family val="2"/>
          </rPr>
          <t xml:space="preserve"> and L</t>
        </r>
        <r>
          <rPr>
            <sz val="8"/>
            <color indexed="81"/>
            <rFont val="Tahoma"/>
            <family val="2"/>
          </rPr>
          <t>C</t>
        </r>
        <r>
          <rPr>
            <sz val="10"/>
            <color indexed="81"/>
            <rFont val="Tahoma"/>
            <family val="2"/>
          </rPr>
          <t>.  NOTE:  Data is NOT automatically inserted into other sheets from this W/S.</t>
        </r>
      </text>
    </comment>
    <comment ref="L46" authorId="0" shapeId="0" xr:uid="{00000000-0006-0000-1100-000002000000}">
      <text>
        <r>
          <rPr>
            <sz val="8"/>
            <color indexed="81"/>
            <rFont val="Tahoma"/>
            <family val="2"/>
          </rPr>
          <t xml:space="preserve">
</t>
        </r>
        <r>
          <rPr>
            <sz val="10"/>
            <color indexed="81"/>
            <rFont val="Tahoma"/>
            <family val="2"/>
          </rPr>
          <t>Operator selects band number and cable length.  Result is the cable loss.</t>
        </r>
        <r>
          <rPr>
            <sz val="8"/>
            <color indexed="81"/>
            <rFont val="Tahoma"/>
            <family val="2"/>
          </rPr>
          <t xml:space="preserve">
</t>
        </r>
      </text>
    </comment>
    <comment ref="L67" authorId="0" shapeId="0" xr:uid="{00000000-0006-0000-1100-000003000000}">
      <text>
        <r>
          <rPr>
            <sz val="8"/>
            <color indexed="81"/>
            <rFont val="Tahoma"/>
            <family val="2"/>
          </rPr>
          <t xml:space="preserve">
</t>
        </r>
        <r>
          <rPr>
            <sz val="10"/>
            <color indexed="81"/>
            <rFont val="Tahoma"/>
            <family val="2"/>
          </rPr>
          <t>Operator selects band number and cable length.  Result is the cable loss.</t>
        </r>
        <r>
          <rPr>
            <sz val="8"/>
            <color indexed="81"/>
            <rFont val="Tahoma"/>
            <family val="2"/>
          </rPr>
          <t xml:space="preserve">
</t>
        </r>
      </text>
    </comment>
    <comment ref="L88" authorId="0" shapeId="0" xr:uid="{00000000-0006-0000-1100-000004000000}">
      <text>
        <r>
          <rPr>
            <sz val="8"/>
            <color indexed="81"/>
            <rFont val="Tahoma"/>
            <family val="2"/>
          </rPr>
          <t xml:space="preserve">
</t>
        </r>
        <r>
          <rPr>
            <sz val="10"/>
            <color indexed="81"/>
            <rFont val="Tahoma"/>
            <family val="2"/>
          </rPr>
          <t>Operator selects band number and cable length.  Result is the cable loss.</t>
        </r>
        <r>
          <rPr>
            <sz val="8"/>
            <color indexed="81"/>
            <rFont val="Tahoma"/>
            <family val="2"/>
          </rPr>
          <t xml:space="preserve">
</t>
        </r>
      </text>
    </comment>
    <comment ref="L110" authorId="0" shapeId="0" xr:uid="{00000000-0006-0000-1100-000005000000}">
      <text>
        <r>
          <rPr>
            <sz val="8"/>
            <color indexed="81"/>
            <rFont val="Tahoma"/>
            <family val="2"/>
          </rPr>
          <t xml:space="preserve">
</t>
        </r>
        <r>
          <rPr>
            <sz val="10"/>
            <color indexed="81"/>
            <rFont val="Tahoma"/>
            <family val="2"/>
          </rPr>
          <t>Operator selects band number and cable length.  Result is the cable loss.</t>
        </r>
        <r>
          <rPr>
            <sz val="8"/>
            <color indexed="81"/>
            <rFont val="Tahoma"/>
            <family val="2"/>
          </rPr>
          <t xml:space="preserve">
</t>
        </r>
      </text>
    </comment>
    <comment ref="L132" authorId="0" shapeId="0" xr:uid="{00000000-0006-0000-1100-000006000000}">
      <text>
        <r>
          <rPr>
            <sz val="8"/>
            <color indexed="81"/>
            <rFont val="Tahoma"/>
            <family val="2"/>
          </rPr>
          <t xml:space="preserve">
</t>
        </r>
        <r>
          <rPr>
            <sz val="10"/>
            <color indexed="81"/>
            <rFont val="Tahoma"/>
            <family val="2"/>
          </rPr>
          <t>Operator selects band number and cable length.  Result is the cable loss.</t>
        </r>
        <r>
          <rPr>
            <sz val="8"/>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3" authorId="0" shapeId="0" xr:uid="{00000000-0006-0000-1200-000001000000}">
      <text>
        <r>
          <rPr>
            <sz val="8"/>
            <color indexed="81"/>
            <rFont val="Tahoma"/>
            <family val="2"/>
          </rPr>
          <t xml:space="preserve">
</t>
        </r>
        <r>
          <rPr>
            <sz val="10"/>
            <color indexed="81"/>
            <rFont val="Tahoma"/>
            <family val="2"/>
          </rPr>
          <t xml:space="preserve">In a spacecraft transmitter system, some loss in power occurs because the antenna/transmission line system is not perfectly matched to the transmitter.  By this we mean the impedance of the transmitter has not been made to be the same as that of the antenna system.  It is typical in spacecraft work to match the transmitter, transmission lines and antennas to 50 </t>
        </r>
        <r>
          <rPr>
            <sz val="10"/>
            <color indexed="81"/>
            <rFont val="Symbol"/>
            <family val="1"/>
            <charset val="2"/>
          </rPr>
          <t>W</t>
        </r>
        <r>
          <rPr>
            <sz val="10"/>
            <color indexed="81"/>
            <rFont val="Tahoma"/>
            <family val="2"/>
          </rPr>
          <t xml:space="preserve"> real with no reactance (j</t>
        </r>
        <r>
          <rPr>
            <sz val="10"/>
            <color indexed="81"/>
            <rFont val="Symbol"/>
            <family val="1"/>
            <charset val="2"/>
          </rPr>
          <t>w</t>
        </r>
        <r>
          <rPr>
            <sz val="10"/>
            <color indexed="81"/>
            <rFont val="Tahoma"/>
            <family val="2"/>
          </rPr>
          <t xml:space="preserve"> = 0).  Typically, however, it is difficult to assure that the antenna system is perfectly "matched" to this value.  Often the real component will be different than 50 </t>
        </r>
        <r>
          <rPr>
            <sz val="10"/>
            <color indexed="81"/>
            <rFont val="Symbol"/>
            <family val="1"/>
            <charset val="2"/>
          </rPr>
          <t>W</t>
        </r>
        <r>
          <rPr>
            <sz val="10"/>
            <color indexed="81"/>
            <rFont val="Tahoma"/>
            <family val="2"/>
          </rPr>
          <t xml:space="preserve"> and/or a residual reactive component exists.  This will cause some power generated by the transmitter, and arriving at the antenna, to be reflected back toward the transmitter.  This power is lost to the downlink AND heats up the final RF transistor of the transmitter unless various circuit methods are employed to prevent this (e.g., a ciruclator could be used between the amplifier and the antenna).
The method most commonly used to measure this effect is the Voltage Standing Wave Ratio (VSWR).  The VSWR is simply equal to Z</t>
        </r>
        <r>
          <rPr>
            <sz val="8"/>
            <color indexed="81"/>
            <rFont val="Tahoma"/>
            <family val="2"/>
          </rPr>
          <t>tx</t>
        </r>
        <r>
          <rPr>
            <sz val="10"/>
            <color indexed="81"/>
            <rFont val="Tahoma"/>
            <family val="2"/>
          </rPr>
          <t>/Z</t>
        </r>
        <r>
          <rPr>
            <sz val="8"/>
            <color indexed="81"/>
            <rFont val="Tahoma"/>
            <family val="2"/>
          </rPr>
          <t>sys</t>
        </r>
        <r>
          <rPr>
            <sz val="10"/>
            <color indexed="81"/>
            <rFont val="Tahoma"/>
            <family val="2"/>
          </rPr>
          <t>,where Z</t>
        </r>
        <r>
          <rPr>
            <sz val="8"/>
            <color indexed="81"/>
            <rFont val="Tahoma"/>
            <family val="2"/>
          </rPr>
          <t>tx</t>
        </r>
        <r>
          <rPr>
            <sz val="10"/>
            <color indexed="81"/>
            <rFont val="Tahoma"/>
            <family val="2"/>
          </rPr>
          <t xml:space="preserve"> is the impedance of the transmitter and Z</t>
        </r>
        <r>
          <rPr>
            <sz val="8"/>
            <color indexed="81"/>
            <rFont val="Tahoma"/>
            <family val="2"/>
          </rPr>
          <t>sys</t>
        </r>
        <r>
          <rPr>
            <sz val="10"/>
            <color indexed="81"/>
            <rFont val="Tahoma"/>
            <family val="2"/>
          </rPr>
          <t xml:space="preserve"> is the impedance of the rest of the sytem looking into the feedline from the transmitter end.  </t>
        </r>
        <r>
          <rPr>
            <sz val="8"/>
            <color indexed="81"/>
            <rFont val="Tahoma"/>
            <family val="2"/>
          </rPr>
          <t xml:space="preserve"> </t>
        </r>
        <r>
          <rPr>
            <sz val="10"/>
            <color indexed="81"/>
            <rFont val="Tahoma"/>
            <family val="2"/>
          </rPr>
          <t>The VSWR of the system may be measured by connecting the feedline (at the connector that interfaces to the transmitter) to a network analyzer or a thruough-line watt meter (e.g., a Bird watt- meter).   VSWR is expressed as a ratio (e.g., 1.5:1).  Once the the VSWR is know the reflected power may be calculated using the formula:
                                      Pr = P x (S-1)^2 / (S+1)^2 
where:  P = Transmitter power output and S = the VSWR looking into the feed line to the antenna.
This calculator calculates the loss in dB resulting from an antenna mismatch measure by it's VSWR.  This value should be used in the "Transmitters"  W/S and should be entered into Cells [I33] and [I69].</t>
        </r>
      </text>
    </comment>
    <comment ref="V22" authorId="0" shapeId="0" xr:uid="{00000000-0006-0000-1200-000002000000}">
      <text>
        <r>
          <rPr>
            <sz val="8"/>
            <color indexed="81"/>
            <rFont val="Tahoma"/>
            <family val="2"/>
          </rPr>
          <t xml:space="preserve">
</t>
        </r>
        <r>
          <rPr>
            <sz val="10"/>
            <color indexed="81"/>
            <rFont val="Tahoma"/>
            <family val="2"/>
          </rPr>
          <t>The VSWR of the transmitter system is equal to:
                  |Z</t>
        </r>
        <r>
          <rPr>
            <sz val="8"/>
            <color indexed="81"/>
            <rFont val="Tahoma"/>
            <family val="2"/>
          </rPr>
          <t>tx</t>
        </r>
        <r>
          <rPr>
            <sz val="10"/>
            <color indexed="81"/>
            <rFont val="Tahoma"/>
            <family val="2"/>
          </rPr>
          <t>|        |Z</t>
        </r>
        <r>
          <rPr>
            <sz val="8"/>
            <color indexed="81"/>
            <rFont val="Tahoma"/>
            <family val="2"/>
          </rPr>
          <t>sys</t>
        </r>
        <r>
          <rPr>
            <sz val="10"/>
            <color indexed="81"/>
            <rFont val="Tahoma"/>
            <family val="2"/>
          </rPr>
          <t>|
     VSWR = ------  or  --------
                  |Z</t>
        </r>
        <r>
          <rPr>
            <sz val="8"/>
            <color indexed="81"/>
            <rFont val="Tahoma"/>
            <family val="2"/>
          </rPr>
          <t>sys</t>
        </r>
        <r>
          <rPr>
            <sz val="10"/>
            <color indexed="81"/>
            <rFont val="Tahoma"/>
            <family val="2"/>
          </rPr>
          <t>|      |Z</t>
        </r>
        <r>
          <rPr>
            <sz val="8"/>
            <color indexed="81"/>
            <rFont val="Tahoma"/>
            <family val="2"/>
          </rPr>
          <t>tx</t>
        </r>
        <r>
          <rPr>
            <sz val="10"/>
            <color indexed="81"/>
            <rFont val="Tahoma"/>
            <family val="2"/>
          </rPr>
          <t>|
     whichever is greater.</t>
        </r>
      </text>
    </comment>
    <comment ref="G42" authorId="0" shapeId="0" xr:uid="{00000000-0006-0000-1200-000003000000}">
      <text>
        <r>
          <rPr>
            <sz val="8"/>
            <color indexed="81"/>
            <rFont val="Tahoma"/>
            <family val="2"/>
          </rPr>
          <t xml:space="preserve">
</t>
        </r>
        <r>
          <rPr>
            <sz val="10"/>
            <color indexed="81"/>
            <rFont val="Tahoma"/>
            <family val="2"/>
          </rPr>
          <t>The VSWR can be determined by measuring the FORWARD and the REFLECTED power using an In-Line Watt Meter.  The equation for calculating VSWR is:
                           [(P</t>
        </r>
        <r>
          <rPr>
            <sz val="8"/>
            <color indexed="81"/>
            <rFont val="Tahoma"/>
            <family val="2"/>
          </rPr>
          <t>f</t>
        </r>
        <r>
          <rPr>
            <sz val="10"/>
            <color indexed="81"/>
            <rFont val="Tahoma"/>
            <family val="2"/>
          </rPr>
          <t>)^1/2] + [(Pr)^1/2]
                     S = ---------------------------
                          [(Pf)^1/2] -  [(Pr)^1/2]
Note that, to the extent possible, the antenna should be in "free space" conditions at the time of the measurements (i.e., many wavelengths away from all metal objects).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B17" authorId="0" shapeId="0" xr:uid="{00000000-0006-0000-1300-000001000000}">
      <text>
        <r>
          <rPr>
            <sz val="8"/>
            <color indexed="81"/>
            <rFont val="Tahoma"/>
            <family val="2"/>
          </rPr>
          <t xml:space="preserve">
The Azimuth Calculation within a Quadrant.
</t>
        </r>
      </text>
    </comment>
    <comment ref="B38" authorId="0" shapeId="0" xr:uid="{00000000-0006-0000-1300-000002000000}">
      <text>
        <r>
          <rPr>
            <sz val="8"/>
            <color indexed="81"/>
            <rFont val="Tahoma"/>
            <family val="2"/>
          </rPr>
          <t xml:space="preserve">
The Azimuth Calculation within a Quadrant.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A2" authorId="0" shapeId="0" xr:uid="{00000000-0006-0000-1400-000001000000}">
      <text>
        <r>
          <rPr>
            <sz val="8"/>
            <color indexed="81"/>
            <rFont val="Tahoma"/>
            <family val="2"/>
          </rPr>
          <t xml:space="preserve">
This data generates the Figure given in the "Orbit" W/S.  It's best to just ignore this W/S.  Thanks! Jan, VK4GEY
</t>
        </r>
      </text>
    </comment>
  </commentList>
</comments>
</file>

<file path=xl/sharedStrings.xml><?xml version="1.0" encoding="utf-8"?>
<sst xmlns="http://schemas.openxmlformats.org/spreadsheetml/2006/main" count="2709" uniqueCount="1076">
  <si>
    <t>This value is transferred from "Atmos. &amp; Ionos. Losses" W/S, Cell [D47:D50]</t>
  </si>
  <si>
    <t>The losses determined here for the uplink and downlink are based on the operator-selected frequency</t>
  </si>
  <si>
    <t xml:space="preserve">    Loss Determined:</t>
  </si>
  <si>
    <t>link model operator, then the operator must estimate the appropriate ionospheric loss value and manually</t>
  </si>
  <si>
    <t xml:space="preserve">   Loss Determined:</t>
  </si>
  <si>
    <t>insert it in either Cell [D34] or Cell [D47] accordingly.</t>
  </si>
  <si>
    <t>Link Losses Resulting from Signals Passing Through Atmospheric Gases:</t>
  </si>
  <si>
    <t>Link Losses Resulting from Signals Passing Through the Ionosphere:</t>
  </si>
  <si>
    <t>This value should be estimated by the link model operator and place into Cell [B18]</t>
  </si>
  <si>
    <r>
      <t>calculated or selected in one of the S</t>
    </r>
    <r>
      <rPr>
        <i/>
        <sz val="10"/>
        <rFont val="Arial"/>
        <family val="2"/>
      </rPr>
      <t>peciality</t>
    </r>
    <r>
      <rPr>
        <sz val="10"/>
        <rFont val="Arial"/>
        <family val="2"/>
      </rPr>
      <t xml:space="preserve"> W/Ss (e.g., "Receivers") becomes just one entry in either the Uplink or the Downlink budget.</t>
    </r>
  </si>
  <si>
    <t>2.3.1</t>
  </si>
  <si>
    <r>
      <t xml:space="preserve">Modified Notes at Cells [P135] and [V52] of "Receivers" W/S. Added </t>
    </r>
    <r>
      <rPr>
        <b/>
        <sz val="10"/>
        <rFont val="Arial"/>
        <family val="2"/>
      </rPr>
      <t>T</t>
    </r>
    <r>
      <rPr>
        <b/>
        <sz val="8"/>
        <rFont val="Arial"/>
        <family val="2"/>
      </rPr>
      <t>o</t>
    </r>
    <r>
      <rPr>
        <sz val="10"/>
        <rFont val="Arial"/>
        <family val="2"/>
      </rPr>
      <t xml:space="preserve"> reference temperature "readout" at Cell [U56] of "Receivers" W/S.</t>
    </r>
  </si>
  <si>
    <t>result is given at Cell [D23] and is automatically inserted into the uplink and downlink budgets.</t>
  </si>
  <si>
    <t>Link Model Operator Estimate Inserted Here.</t>
  </si>
  <si>
    <t>This value is calculated in the "Receivers" W/S and Transferred from Cell [J138]</t>
  </si>
  <si>
    <t>Ground Station Total Transmission Line Losses:</t>
  </si>
  <si>
    <t xml:space="preserve">This value is transferred from the "Receivers" W/S, Cell [J123] </t>
  </si>
  <si>
    <t>Telemetry System Eb/No for the Downlink:</t>
  </si>
  <si>
    <r>
      <t xml:space="preserve">Operator selects this value. </t>
    </r>
    <r>
      <rPr>
        <sz val="10"/>
        <color indexed="10"/>
        <rFont val="Arial"/>
        <family val="2"/>
      </rPr>
      <t>Be Careful!</t>
    </r>
    <r>
      <rPr>
        <sz val="10"/>
        <rFont val="Arial"/>
        <family val="2"/>
      </rPr>
      <t xml:space="preserve">  This is the data rate, not the symbol rate.</t>
    </r>
  </si>
  <si>
    <t>This is simply = 10log(R); R= data rate</t>
  </si>
  <si>
    <t>The selected value is transferred from the "Modulation-Demodulation W/S, Cells [F33:F50]</t>
  </si>
  <si>
    <t>System Allowed or Specified Bit-Error-Rate:</t>
  </si>
  <si>
    <t>Spacecraft Slot (Longitude):</t>
  </si>
  <si>
    <t>User is:</t>
  </si>
  <si>
    <t>East of Sat?</t>
  </si>
  <si>
    <t>Quad NE</t>
  </si>
  <si>
    <t>Quad NW</t>
  </si>
  <si>
    <t>Quad SE</t>
  </si>
  <si>
    <t>Quad SW</t>
  </si>
  <si>
    <t>0° to 90°</t>
  </si>
  <si>
    <t>270° to 360°</t>
  </si>
  <si>
    <t>90° to 180°</t>
  </si>
  <si>
    <t>Latitude</t>
  </si>
  <si>
    <t>In N. Hem?</t>
  </si>
  <si>
    <t>Satellite is to South if "1", North if "0"</t>
  </si>
  <si>
    <t>Satellite is to North if "1", South if "0"</t>
  </si>
  <si>
    <t>Satellite is to West if "1", East if "0"</t>
  </si>
  <si>
    <t>Satellite is to East if "1", West if "0"</t>
  </si>
  <si>
    <t>180° to 270°</t>
  </si>
  <si>
    <r>
      <t xml:space="preserve"> </t>
    </r>
    <r>
      <rPr>
        <b/>
        <sz val="10"/>
        <rFont val="Symbol"/>
        <family val="1"/>
        <charset val="2"/>
      </rPr>
      <t>D</t>
    </r>
    <r>
      <rPr>
        <b/>
        <sz val="10"/>
        <rFont val="Arial"/>
        <family val="2"/>
      </rPr>
      <t xml:space="preserve"> Longitude</t>
    </r>
  </si>
  <si>
    <t>Azimuth Calc.</t>
  </si>
  <si>
    <t>Azimuth Result:</t>
  </si>
  <si>
    <r>
      <t xml:space="preserve">Enter Slot Postion in Degrees East Longitude (NOTE: </t>
    </r>
    <r>
      <rPr>
        <sz val="10"/>
        <rFont val="Symbol"/>
        <family val="1"/>
        <charset val="2"/>
      </rPr>
      <t xml:space="preserve">D </t>
    </r>
    <r>
      <rPr>
        <sz val="10"/>
        <rFont val="Arial"/>
        <family val="2"/>
      </rPr>
      <t xml:space="preserve">Longitude </t>
    </r>
    <r>
      <rPr>
        <sz val="10"/>
        <rFont val="Symbol"/>
        <family val="1"/>
        <charset val="2"/>
      </rPr>
      <t>£</t>
    </r>
    <r>
      <rPr>
        <sz val="10"/>
        <rFont val="Arial"/>
        <family val="2"/>
      </rPr>
      <t xml:space="preserve"> 81.3</t>
    </r>
    <r>
      <rPr>
        <sz val="10"/>
        <rFont val="Arial"/>
        <family val="2"/>
      </rPr>
      <t>°) [- = W. Long.; + = E. Long.]</t>
    </r>
  </si>
  <si>
    <t>The distance from the GEO satellite to the user.  This Value used in Link Budget Path Loss Calculation.</t>
  </si>
  <si>
    <t>This is the Elevation Angle to the GEO spacecraft from the User (latitude and longitude) site.</t>
  </si>
  <si>
    <t>Quad. Result:</t>
  </si>
  <si>
    <t>Quad Angle Range:</t>
  </si>
  <si>
    <t>Sat. in Quad?</t>
  </si>
  <si>
    <t>The angle measured from Earth center between the sub-satellite point and the ground station location.</t>
  </si>
  <si>
    <t>Operator Estimate of Implementation Loss</t>
  </si>
  <si>
    <r>
      <t>E</t>
    </r>
    <r>
      <rPr>
        <b/>
        <sz val="8"/>
        <rFont val="Arial"/>
        <family val="2"/>
      </rPr>
      <t>b</t>
    </r>
    <r>
      <rPr>
        <b/>
        <sz val="10"/>
        <rFont val="Arial"/>
        <family val="2"/>
      </rPr>
      <t>/N</t>
    </r>
    <r>
      <rPr>
        <b/>
        <sz val="8"/>
        <rFont val="Arial"/>
        <family val="2"/>
      </rPr>
      <t>o</t>
    </r>
    <r>
      <rPr>
        <b/>
        <sz val="10"/>
        <rFont val="Arial"/>
        <family val="2"/>
      </rPr>
      <t>:</t>
    </r>
  </si>
  <si>
    <t>Threshold</t>
  </si>
  <si>
    <t>Demodulator Implementation Loss:</t>
  </si>
  <si>
    <t>Eb/No Threshold:</t>
  </si>
  <si>
    <t xml:space="preserve">one.  But, if you move the curser over the far left icon you will notice the pop-up prompt now says "edit cell."  Now, move the curser </t>
  </si>
  <si>
    <t xml:space="preserve">over the "NOTE:" cell and left click then left click on the same far left icon.  This will allow you to edit the cell BUT it will also FREEZE   </t>
  </si>
  <si>
    <t xml:space="preserve">the cell in the ON condition.  Now, you can move the note around by using the slide bars on the side and bottom of the screen to see  </t>
  </si>
  <si>
    <t xml:space="preserve">all of the note.  It's probably a good idea not to modify the note.  You can close the note by just moving the cursor to an empty cell </t>
  </si>
  <si>
    <t xml:space="preserve">somewhere and left clicking.  It is suggested that you try this process now with the test note above at Cell [D23].  It's been set up </t>
  </si>
  <si>
    <t>to frustrate you in just such a way as the real notes might do later on.</t>
  </si>
  <si>
    <t xml:space="preserve"> These are cells containing important but, intermediate results.  Two colors were used to provide a slight gradation </t>
  </si>
  <si>
    <r>
      <t xml:space="preserve">   Beam Roll-Off &amp; Sidelobe Positions Based on Sin</t>
    </r>
    <r>
      <rPr>
        <b/>
        <sz val="12"/>
        <rFont val="Arial"/>
        <family val="2"/>
      </rPr>
      <t>²</t>
    </r>
    <r>
      <rPr>
        <b/>
        <sz val="12"/>
        <rFont val="Arial"/>
        <family val="2"/>
      </rPr>
      <t xml:space="preserve"> (θ)/ θ</t>
    </r>
    <r>
      <rPr>
        <b/>
        <sz val="12"/>
        <rFont val="Arial"/>
        <family val="2"/>
      </rPr>
      <t>²</t>
    </r>
    <r>
      <rPr>
        <b/>
        <sz val="12"/>
        <rFont val="Arial"/>
        <family val="2"/>
      </rPr>
      <t xml:space="preserve"> Formulation</t>
    </r>
  </si>
  <si>
    <t>S/C</t>
  </si>
  <si>
    <t>of importance.  The orange color is considered to be a result having slightly more significance than the lighter yellow cell.</t>
  </si>
  <si>
    <t>The selected value is transferred from the "Modulation-Demodulation W/S, Cells [E33:E50]</t>
  </si>
  <si>
    <t>This is the result of the "Modulation-Demodulation" W/S and is transferred from Cell [H32]</t>
  </si>
  <si>
    <t>Signal Spectrum Must Pass Through This Data Filter</t>
  </si>
  <si>
    <t>Analog or Digital System Required S/N:</t>
  </si>
  <si>
    <t xml:space="preserve">100% (the ususal setting) to 75% or 85%.  This should allow you to see all of the note.  2) Alternatively, using the mouse, select from </t>
  </si>
  <si>
    <t>data entry cell.  It is anticipated that your system's selected value is quite likely to be different than the default value used in the cell when you</t>
  </si>
  <si>
    <t xml:space="preserve">  This is also a data entry cell.  This type of cell may not need to be changed as the value you are likely to use may be the same </t>
  </si>
  <si>
    <t xml:space="preserve">  as the default value.</t>
  </si>
  <si>
    <t xml:space="preserve">  Sometimes an olive green cell will be used to re-emphasize a frequency selection as in the "System Performance Summary" W/S.</t>
  </si>
  <si>
    <t xml:space="preserve">    Slant Range for Orbit Option Selected:</t>
  </si>
  <si>
    <t xml:space="preserve">"Orbit" worksheet is matched against the closest fit from the table and the </t>
  </si>
  <si>
    <t xml:space="preserve">choice made in the "Orbit" worksheet.  If the "User Defined" option is selected by the   </t>
  </si>
  <si>
    <r>
      <t>Lp = 22 + 20LOG(D/</t>
    </r>
    <r>
      <rPr>
        <sz val="10"/>
        <rFont val="Symbol"/>
        <charset val="2"/>
      </rPr>
      <t>l</t>
    </r>
    <r>
      <rPr>
        <sz val="10"/>
        <rFont val="Arial"/>
        <family val="2"/>
      </rPr>
      <t>); Transferred from "Frequency" W/S</t>
    </r>
  </si>
  <si>
    <r>
      <t xml:space="preserve">is clearly referred to as such in the budget </t>
    </r>
    <r>
      <rPr>
        <i/>
        <sz val="10"/>
        <rFont val="Arial"/>
        <family val="2"/>
      </rPr>
      <t>parameter</t>
    </r>
    <r>
      <rPr>
        <sz val="10"/>
        <rFont val="Arial"/>
        <family val="2"/>
      </rPr>
      <t xml:space="preserve"> column, it can have a positive sign.  That is the case in this link budget.  All losses are shown </t>
    </r>
  </si>
  <si>
    <r>
      <t xml:space="preserve">The important thing for the link model operator to know when using this modeling system is that the losses are show as positive values </t>
    </r>
    <r>
      <rPr>
        <b/>
        <sz val="10"/>
        <rFont val="Arial"/>
        <family val="2"/>
      </rPr>
      <t>BUT</t>
    </r>
    <r>
      <rPr>
        <sz val="10"/>
        <rFont val="Arial"/>
        <family val="2"/>
      </rPr>
      <t>,</t>
    </r>
  </si>
  <si>
    <r>
      <t xml:space="preserve">in the equations that sum the gains and losses to yield the result, the gains are </t>
    </r>
    <r>
      <rPr>
        <i/>
        <sz val="10"/>
        <rFont val="Arial"/>
        <family val="2"/>
      </rPr>
      <t>added</t>
    </r>
    <r>
      <rPr>
        <sz val="10"/>
        <rFont val="Arial"/>
        <family val="2"/>
      </rPr>
      <t xml:space="preserve"> and the losses are </t>
    </r>
    <r>
      <rPr>
        <i/>
        <sz val="10"/>
        <rFont val="Arial"/>
        <family val="2"/>
      </rPr>
      <t>subtracted</t>
    </r>
    <r>
      <rPr>
        <sz val="10"/>
        <rFont val="Arial"/>
        <family val="2"/>
      </rPr>
      <t xml:space="preserve">.  For example, </t>
    </r>
  </si>
  <si>
    <t xml:space="preserve">see the equation in Cell [B11] of the "Uplink" W/S. </t>
  </si>
  <si>
    <t xml:space="preserve">Uplink or Downlink pages.  </t>
  </si>
  <si>
    <t>The usefulness of a tool is to be able to explore a specific tradeoff without having to worry about that data winding up in the formal</t>
  </si>
  <si>
    <t xml:space="preserve">  Starting with the "Title Page" W/S, proceed through each Speciality W/S, adding data,  </t>
  </si>
  <si>
    <t xml:space="preserve">in sequence. Then select the next tab at the bottom of the W/S.  The "Uplink", "Downlink" and "System Performance Summary" W/Ss </t>
  </si>
  <si>
    <r>
      <t xml:space="preserve">explored and used as they may be helpful to you.  Any comments you may have on this model will be greatfully received by me.  </t>
    </r>
    <r>
      <rPr>
        <b/>
        <sz val="10"/>
        <rFont val="Arial"/>
        <family val="2"/>
      </rPr>
      <t>Thanks!</t>
    </r>
  </si>
  <si>
    <r>
      <t xml:space="preserve">Jackson, R.B., </t>
    </r>
    <r>
      <rPr>
        <i/>
        <sz val="10"/>
        <rFont val="Arial"/>
        <family val="2"/>
      </rPr>
      <t xml:space="preserve">The Canted Turnstile as an Omnidirectional Spacecraft Antenna, </t>
    </r>
    <r>
      <rPr>
        <sz val="10"/>
        <rFont val="Arial"/>
        <family val="2"/>
      </rPr>
      <t>X-712-67-441, NASA/Goddard Space Flight Center, 1967, Entire Document.</t>
    </r>
  </si>
  <si>
    <r>
      <t xml:space="preserve">     b</t>
    </r>
    <r>
      <rPr>
        <sz val="17"/>
        <color indexed="10"/>
        <rFont val="Arial"/>
        <family val="2"/>
      </rPr>
      <t xml:space="preserve"> TEST Version -Revised</t>
    </r>
  </si>
  <si>
    <t>dBi (L or C)</t>
  </si>
  <si>
    <t>System Link Margin</t>
  </si>
  <si>
    <r>
      <t>G/T = Ga-L</t>
    </r>
    <r>
      <rPr>
        <sz val="8"/>
        <rFont val="Arial"/>
        <family val="2"/>
      </rPr>
      <t>tl</t>
    </r>
    <r>
      <rPr>
        <sz val="10"/>
        <rFont val="Arial"/>
        <family val="2"/>
      </rPr>
      <t>-10log(T</t>
    </r>
    <r>
      <rPr>
        <sz val="8"/>
        <rFont val="Arial"/>
        <family val="2"/>
      </rPr>
      <t>s</t>
    </r>
    <r>
      <rPr>
        <sz val="10"/>
        <rFont val="Arial"/>
        <family val="2"/>
      </rPr>
      <t>).  This is the uptimate measure of the receiver's performance.</t>
    </r>
  </si>
  <si>
    <r>
      <t>G/T = Ga-L</t>
    </r>
    <r>
      <rPr>
        <sz val="8"/>
        <rFont val="Arial"/>
        <family val="2"/>
      </rPr>
      <t>tl</t>
    </r>
    <r>
      <rPr>
        <sz val="10"/>
        <rFont val="Arial"/>
        <family val="2"/>
      </rPr>
      <t>-10log(T</t>
    </r>
    <r>
      <rPr>
        <sz val="8"/>
        <rFont val="Arial"/>
        <family val="2"/>
      </rPr>
      <t>s</t>
    </r>
    <r>
      <rPr>
        <sz val="10"/>
        <rFont val="Arial"/>
        <family val="2"/>
      </rPr>
      <t>). This is the ultimate measure of the receiver's performance.</t>
    </r>
  </si>
  <si>
    <r>
      <t>Ps = P</t>
    </r>
    <r>
      <rPr>
        <sz val="8"/>
        <rFont val="Arial"/>
        <family val="2"/>
      </rPr>
      <t>iso</t>
    </r>
    <r>
      <rPr>
        <sz val="10"/>
        <rFont val="Arial"/>
        <family val="2"/>
      </rPr>
      <t>+G</t>
    </r>
    <r>
      <rPr>
        <sz val="8"/>
        <rFont val="Arial"/>
        <family val="2"/>
      </rPr>
      <t>a</t>
    </r>
    <r>
      <rPr>
        <sz val="10"/>
        <rFont val="Arial"/>
        <family val="2"/>
      </rPr>
      <t>-L</t>
    </r>
    <r>
      <rPr>
        <sz val="8"/>
        <rFont val="Arial"/>
        <family val="2"/>
      </rPr>
      <t>pl</t>
    </r>
    <r>
      <rPr>
        <sz val="10"/>
        <rFont val="Arial"/>
        <family val="2"/>
      </rPr>
      <t>-L</t>
    </r>
    <r>
      <rPr>
        <sz val="8"/>
        <rFont val="Arial"/>
        <family val="2"/>
      </rPr>
      <t xml:space="preserve">tl;  </t>
    </r>
    <r>
      <rPr>
        <sz val="10"/>
        <rFont val="Arial"/>
        <family val="2"/>
      </rPr>
      <t>This is the signal power that has arrived at the ground station receiver.</t>
    </r>
  </si>
  <si>
    <t>Ground Station Receiver Bandwidth (B):</t>
  </si>
  <si>
    <t>Ps/Pn = Ps(in dBW) - Pn(in dBW)</t>
  </si>
  <si>
    <t>If system is digital, use values from "Modulation-Demodulation" W/S.  If analog, use appropriate value from text book.</t>
  </si>
  <si>
    <t>Transmitter power expressed in dB above one watt</t>
  </si>
  <si>
    <t>Transmitter power expressed in dB above one milliwatt</t>
  </si>
  <si>
    <t>This value is transferred from "Transmitters" W/S, Cell [I33]</t>
  </si>
  <si>
    <t>Ground Station  (EbNo Method):</t>
  </si>
  <si>
    <t>NOTE:  Click " + " above column K to restore comment column.</t>
  </si>
  <si>
    <t>This value is calculated in the "Polarization Loss" W/S and is transferred from Cell [F60].</t>
  </si>
  <si>
    <t>Ground Station Transmitter Power Output:</t>
  </si>
  <si>
    <t>Ground Stn. Total Transmission Line Losses:</t>
  </si>
  <si>
    <t>This value is transferred from "Transmitters" W/S, Cell [E50]</t>
  </si>
  <si>
    <t>This value is transferred from "Transmitters" W/S, Cell [E15].</t>
  </si>
  <si>
    <t>This value is transferred from "Transmitters" W/S, Cell [I68]</t>
  </si>
  <si>
    <t>Gnd-to-S/C Antenna Polarization Losses:</t>
  </si>
  <si>
    <t>Peak Gain at:</t>
  </si>
  <si>
    <t>Elevation</t>
  </si>
  <si>
    <t>(-3dB gain loss)</t>
  </si>
  <si>
    <t>Outer Ring:</t>
  </si>
  <si>
    <t>(Add this value to 0.0 dB)</t>
  </si>
  <si>
    <t>Azimuth Cut:</t>
  </si>
  <si>
    <t>DIPOLE ELEVATION  PATTERN</t>
  </si>
  <si>
    <t>This value is calculated in the "Polarization Loss" W/S and is transferred from Cell [F40].</t>
  </si>
  <si>
    <t>This is the signal level received at the Earth in the vacinity of the ground station using an omnidirectional antenna.</t>
  </si>
  <si>
    <t>Forward Error Correction Coding Used:</t>
  </si>
  <si>
    <t>This value is calculated in the "Receivers" W/S and Transferred from Cell [J67]</t>
  </si>
  <si>
    <t xml:space="preserve">This value is transferred from the "Receivers" W/S, Cell [J52] </t>
  </si>
  <si>
    <t>Demodulation Method Seleted:</t>
  </si>
  <si>
    <t>Value selected in "Modulation-Demodulation" W/S, also Cell [E30]</t>
  </si>
  <si>
    <t>Values selected in "Modulation-Demodulation W/S, Cell [E30]</t>
  </si>
  <si>
    <t>Values selected in "Modulation-Demodulation W/S, Cell [E3]</t>
  </si>
  <si>
    <t>Value selected in "Modulation-Demodulation" W/S, also Cell [E3]</t>
  </si>
  <si>
    <t>The selected value is transferred from the "Modulation-Demodulation W/S, Cells [E6:E23]</t>
  </si>
  <si>
    <t>This value is transferred from  the "Modulation-Demodulation W/S, Cell[E52]</t>
  </si>
  <si>
    <t>This value is transferred from the "Modulation-Demodulation W/S, Cell[E25]</t>
  </si>
  <si>
    <t>The selected value is transferred from the "Modulation-Demodulation W/S, Cells [F6:F23]</t>
  </si>
  <si>
    <t>Signal Spectrum Must Pass Through This Data Filter.</t>
  </si>
  <si>
    <t>Spacecraft Receiver Noise Power (Pn = kTB)</t>
  </si>
  <si>
    <t xml:space="preserve"> NOTE:</t>
  </si>
  <si>
    <r>
      <t>Pn</t>
    </r>
    <r>
      <rPr>
        <sz val="10"/>
        <rFont val="Arial"/>
        <family val="2"/>
      </rPr>
      <t xml:space="preserve"> = K + 10log(Ts) + 10log(B).  This is the total noise power arriving at the ground station receiver.</t>
    </r>
  </si>
  <si>
    <t>Spacecraft (Eb/No Method):</t>
  </si>
  <si>
    <t>NOTE:  Click " + " above column J to restore comment column.</t>
  </si>
  <si>
    <t>Command System Eb/No:</t>
  </si>
  <si>
    <t>System Performance Summary:</t>
  </si>
  <si>
    <t>Line A</t>
  </si>
  <si>
    <t>Line C</t>
  </si>
  <si>
    <r>
      <t xml:space="preserve">    P</t>
    </r>
    <r>
      <rPr>
        <sz val="8"/>
        <rFont val="Arial"/>
        <family val="2"/>
      </rPr>
      <t>Tx</t>
    </r>
    <r>
      <rPr>
        <sz val="10"/>
        <rFont val="Arial"/>
        <family val="2"/>
      </rPr>
      <t xml:space="preserve"> =</t>
    </r>
  </si>
  <si>
    <r>
      <t xml:space="preserve">    L</t>
    </r>
    <r>
      <rPr>
        <sz val="8"/>
        <rFont val="Arial"/>
        <family val="2"/>
      </rPr>
      <t xml:space="preserve">A </t>
    </r>
    <r>
      <rPr>
        <sz val="10"/>
        <rFont val="Arial"/>
        <family val="2"/>
      </rPr>
      <t>=</t>
    </r>
  </si>
  <si>
    <r>
      <t xml:space="preserve">    L</t>
    </r>
    <r>
      <rPr>
        <sz val="8"/>
        <rFont val="Arial"/>
        <family val="2"/>
      </rPr>
      <t>B</t>
    </r>
    <r>
      <rPr>
        <sz val="10"/>
        <rFont val="Arial"/>
        <family val="2"/>
      </rPr>
      <t xml:space="preserve"> =</t>
    </r>
  </si>
  <si>
    <r>
      <t xml:space="preserve">    L</t>
    </r>
    <r>
      <rPr>
        <sz val="8"/>
        <rFont val="Arial"/>
        <family val="2"/>
      </rPr>
      <t>C</t>
    </r>
    <r>
      <rPr>
        <sz val="10"/>
        <rFont val="Arial"/>
        <family val="2"/>
      </rPr>
      <t xml:space="preserve"> = </t>
    </r>
  </si>
  <si>
    <t xml:space="preserve">    R = </t>
  </si>
  <si>
    <r>
      <t xml:space="preserve">    L</t>
    </r>
    <r>
      <rPr>
        <sz val="8"/>
        <rFont val="Arial"/>
        <family val="2"/>
      </rPr>
      <t>p</t>
    </r>
    <r>
      <rPr>
        <sz val="10"/>
        <rFont val="Arial"/>
        <family val="2"/>
      </rPr>
      <t xml:space="preserve"> =</t>
    </r>
  </si>
  <si>
    <r>
      <t xml:space="preserve">    L</t>
    </r>
    <r>
      <rPr>
        <sz val="8"/>
        <rFont val="Arial"/>
        <family val="2"/>
      </rPr>
      <t>Tbpf =</t>
    </r>
  </si>
  <si>
    <r>
      <t xml:space="preserve">    L</t>
    </r>
    <r>
      <rPr>
        <sz val="8"/>
        <rFont val="Arial"/>
        <family val="2"/>
      </rPr>
      <t>C=</t>
    </r>
  </si>
  <si>
    <r>
      <t xml:space="preserve">    L</t>
    </r>
    <r>
      <rPr>
        <sz val="8"/>
        <rFont val="Arial"/>
        <family val="2"/>
      </rPr>
      <t>B</t>
    </r>
    <r>
      <rPr>
        <sz val="10"/>
        <rFont val="Arial"/>
        <family val="2"/>
      </rPr>
      <t xml:space="preserve"> = </t>
    </r>
  </si>
  <si>
    <r>
      <t xml:space="preserve">    L</t>
    </r>
    <r>
      <rPr>
        <sz val="8"/>
        <rFont val="Arial"/>
        <family val="2"/>
      </rPr>
      <t>A</t>
    </r>
    <r>
      <rPr>
        <sz val="10"/>
        <rFont val="Arial"/>
        <family val="2"/>
      </rPr>
      <t xml:space="preserve"> =</t>
    </r>
  </si>
  <si>
    <r>
      <t xml:space="preserve">   L</t>
    </r>
    <r>
      <rPr>
        <sz val="8"/>
        <rFont val="Arial"/>
        <family val="2"/>
      </rPr>
      <t>Tother =</t>
    </r>
  </si>
  <si>
    <r>
      <t xml:space="preserve">    T</t>
    </r>
    <r>
      <rPr>
        <sz val="8"/>
        <rFont val="Arial"/>
        <family val="2"/>
      </rPr>
      <t>LNA</t>
    </r>
    <r>
      <rPr>
        <sz val="10"/>
        <rFont val="Arial"/>
        <family val="2"/>
      </rPr>
      <t xml:space="preserve"> =</t>
    </r>
    <r>
      <rPr>
        <sz val="8"/>
        <rFont val="Arial"/>
        <family val="2"/>
      </rPr>
      <t xml:space="preserve"> </t>
    </r>
  </si>
  <si>
    <r>
      <t xml:space="preserve">    G</t>
    </r>
    <r>
      <rPr>
        <sz val="8"/>
        <rFont val="Arial"/>
        <family val="2"/>
      </rPr>
      <t>LNA</t>
    </r>
    <r>
      <rPr>
        <sz val="10"/>
        <rFont val="Arial"/>
        <family val="2"/>
      </rPr>
      <t xml:space="preserve"> =</t>
    </r>
  </si>
  <si>
    <r>
      <t>L</t>
    </r>
    <r>
      <rPr>
        <sz val="8"/>
        <rFont val="Arial"/>
        <family val="2"/>
      </rPr>
      <t xml:space="preserve">total line </t>
    </r>
    <r>
      <rPr>
        <sz val="10"/>
        <rFont val="Arial"/>
        <family val="2"/>
      </rPr>
      <t>=</t>
    </r>
    <r>
      <rPr>
        <sz val="10"/>
        <rFont val="Arial"/>
        <family val="2"/>
      </rPr>
      <t xml:space="preserve"> </t>
    </r>
  </si>
  <si>
    <r>
      <t>L</t>
    </r>
    <r>
      <rPr>
        <sz val="8"/>
        <rFont val="Arial"/>
        <family val="2"/>
      </rPr>
      <t xml:space="preserve">total line </t>
    </r>
    <r>
      <rPr>
        <sz val="10"/>
        <rFont val="Arial"/>
        <family val="2"/>
      </rPr>
      <t>=</t>
    </r>
  </si>
  <si>
    <r>
      <t>T</t>
    </r>
    <r>
      <rPr>
        <sz val="8"/>
        <rFont val="Arial"/>
        <family val="2"/>
      </rPr>
      <t>2nd Amp</t>
    </r>
    <r>
      <rPr>
        <sz val="10"/>
        <rFont val="Arial"/>
        <family val="2"/>
      </rPr>
      <t xml:space="preserve"> =</t>
    </r>
  </si>
  <si>
    <t xml:space="preserve">  Demodulator Type:</t>
  </si>
  <si>
    <t>Link Margin:</t>
  </si>
  <si>
    <r>
      <t xml:space="preserve">    E</t>
    </r>
    <r>
      <rPr>
        <sz val="8"/>
        <rFont val="Arial"/>
        <family val="2"/>
      </rPr>
      <t>b</t>
    </r>
    <r>
      <rPr>
        <sz val="10"/>
        <rFont val="Arial"/>
        <family val="2"/>
      </rPr>
      <t>/N</t>
    </r>
    <r>
      <rPr>
        <sz val="8"/>
        <rFont val="Arial"/>
        <family val="2"/>
      </rPr>
      <t>o</t>
    </r>
    <r>
      <rPr>
        <sz val="10"/>
        <rFont val="Arial"/>
        <family val="2"/>
      </rPr>
      <t xml:space="preserve"> = </t>
    </r>
  </si>
  <si>
    <t xml:space="preserve">    S/N =</t>
  </si>
  <si>
    <r>
      <t xml:space="preserve">    T</t>
    </r>
    <r>
      <rPr>
        <sz val="8"/>
        <rFont val="Arial"/>
        <family val="2"/>
      </rPr>
      <t>sys</t>
    </r>
    <r>
      <rPr>
        <sz val="10"/>
        <rFont val="Arial"/>
        <family val="2"/>
      </rPr>
      <t xml:space="preserve"> =</t>
    </r>
  </si>
  <si>
    <t xml:space="preserve">    G/T =</t>
  </si>
  <si>
    <r>
      <t xml:space="preserve">    G</t>
    </r>
    <r>
      <rPr>
        <sz val="8"/>
        <rFont val="Arial"/>
        <family val="2"/>
      </rPr>
      <t xml:space="preserve">T </t>
    </r>
    <r>
      <rPr>
        <sz val="10"/>
        <rFont val="Arial"/>
        <family val="2"/>
      </rPr>
      <t>=</t>
    </r>
  </si>
  <si>
    <r>
      <t xml:space="preserve">  L</t>
    </r>
    <r>
      <rPr>
        <sz val="8"/>
        <rFont val="Arial"/>
        <family val="2"/>
      </rPr>
      <t>Rbpf</t>
    </r>
    <r>
      <rPr>
        <sz val="10"/>
        <rFont val="Arial"/>
        <family val="2"/>
      </rPr>
      <t xml:space="preserve"> =</t>
    </r>
  </si>
  <si>
    <r>
      <t xml:space="preserve">   G</t>
    </r>
    <r>
      <rPr>
        <sz val="8"/>
        <rFont val="Arial"/>
        <family val="2"/>
      </rPr>
      <t>R</t>
    </r>
    <r>
      <rPr>
        <sz val="10"/>
        <rFont val="Arial"/>
        <family val="2"/>
      </rPr>
      <t xml:space="preserve"> =</t>
    </r>
  </si>
  <si>
    <t>Cable/W.Guide Loss/meter:</t>
  </si>
  <si>
    <t>Cable/W. Guide Type:</t>
  </si>
  <si>
    <r>
      <t xml:space="preserve">  EIRP</t>
    </r>
    <r>
      <rPr>
        <sz val="8"/>
        <rFont val="Arial"/>
        <family val="2"/>
      </rPr>
      <t xml:space="preserve">gs </t>
    </r>
    <r>
      <rPr>
        <sz val="10"/>
        <rFont val="Arial"/>
        <family val="2"/>
      </rPr>
      <t>=</t>
    </r>
  </si>
  <si>
    <t xml:space="preserve">  Modulation Method:</t>
  </si>
  <si>
    <r>
      <t xml:space="preserve">   B</t>
    </r>
    <r>
      <rPr>
        <sz val="8"/>
        <rFont val="Arial"/>
        <family val="2"/>
      </rPr>
      <t>Rbpf</t>
    </r>
    <r>
      <rPr>
        <sz val="10"/>
        <rFont val="Arial"/>
        <family val="2"/>
      </rPr>
      <t xml:space="preserve"> = </t>
    </r>
  </si>
  <si>
    <t>(Used Only in S/N Calc.)</t>
  </si>
  <si>
    <t>S/N Method:</t>
  </si>
  <si>
    <r>
      <t>E</t>
    </r>
    <r>
      <rPr>
        <sz val="8"/>
        <rFont val="Arial"/>
        <family val="2"/>
      </rPr>
      <t>b</t>
    </r>
    <r>
      <rPr>
        <sz val="10"/>
        <rFont val="Arial"/>
        <family val="2"/>
      </rPr>
      <t>/No Method:</t>
    </r>
  </si>
  <si>
    <t>Spec. B.E.R.:</t>
  </si>
  <si>
    <r>
      <t xml:space="preserve">  </t>
    </r>
    <r>
      <rPr>
        <b/>
        <sz val="10"/>
        <rFont val="Arial"/>
        <family val="2"/>
      </rPr>
      <t>UPLINK SYSTEM:</t>
    </r>
  </si>
  <si>
    <t xml:space="preserve">    R =</t>
  </si>
  <si>
    <t>DOWNLINK SYSTEM:</t>
  </si>
  <si>
    <t xml:space="preserve">    Total Link Losses:</t>
  </si>
  <si>
    <t xml:space="preserve">  Polarization:</t>
  </si>
  <si>
    <t xml:space="preserve"> Polarization:</t>
  </si>
  <si>
    <r>
      <t xml:space="preserve">    P</t>
    </r>
    <r>
      <rPr>
        <sz val="8"/>
        <rFont val="Arial"/>
        <family val="2"/>
      </rPr>
      <t xml:space="preserve">Tx </t>
    </r>
    <r>
      <rPr>
        <sz val="10"/>
        <rFont val="Arial"/>
        <family val="2"/>
      </rPr>
      <t>=</t>
    </r>
  </si>
  <si>
    <r>
      <t xml:space="preserve">    h</t>
    </r>
    <r>
      <rPr>
        <sz val="8"/>
        <rFont val="Arial"/>
        <family val="2"/>
      </rPr>
      <t xml:space="preserve">Tx </t>
    </r>
    <r>
      <rPr>
        <sz val="10"/>
        <rFont val="Arial"/>
        <family val="2"/>
      </rPr>
      <t>=</t>
    </r>
  </si>
  <si>
    <t>Tx DC Pwr:</t>
  </si>
  <si>
    <t>Tx Dissipation:</t>
  </si>
  <si>
    <t xml:space="preserve">   Modulation Method:</t>
  </si>
  <si>
    <r>
      <t xml:space="preserve">   L</t>
    </r>
    <r>
      <rPr>
        <sz val="8"/>
        <rFont val="Arial"/>
        <family val="2"/>
      </rPr>
      <t>TXbpf</t>
    </r>
    <r>
      <rPr>
        <sz val="10"/>
        <rFont val="Arial"/>
        <family val="2"/>
      </rPr>
      <t xml:space="preserve"> =</t>
    </r>
  </si>
  <si>
    <r>
      <t xml:space="preserve">    L</t>
    </r>
    <r>
      <rPr>
        <sz val="8"/>
        <rFont val="Arial"/>
        <family val="2"/>
      </rPr>
      <t>B</t>
    </r>
    <r>
      <rPr>
        <sz val="10"/>
        <rFont val="Arial"/>
        <family val="2"/>
      </rPr>
      <t xml:space="preserve"> =</t>
    </r>
  </si>
  <si>
    <r>
      <t xml:space="preserve">    L</t>
    </r>
    <r>
      <rPr>
        <sz val="8"/>
        <rFont val="Arial"/>
        <family val="2"/>
      </rPr>
      <t>C</t>
    </r>
    <r>
      <rPr>
        <sz val="10"/>
        <rFont val="Arial"/>
        <family val="2"/>
      </rPr>
      <t xml:space="preserve"> =</t>
    </r>
  </si>
  <si>
    <r>
      <t xml:space="preserve"> L</t>
    </r>
    <r>
      <rPr>
        <sz val="8"/>
        <rFont val="Arial"/>
        <family val="2"/>
      </rPr>
      <t>total line</t>
    </r>
    <r>
      <rPr>
        <sz val="10"/>
        <rFont val="Arial"/>
        <family val="2"/>
      </rPr>
      <t xml:space="preserve"> =</t>
    </r>
  </si>
  <si>
    <r>
      <t xml:space="preserve">    G</t>
    </r>
    <r>
      <rPr>
        <sz val="8"/>
        <rFont val="Arial"/>
        <family val="2"/>
      </rPr>
      <t>T</t>
    </r>
    <r>
      <rPr>
        <sz val="10"/>
        <rFont val="Arial"/>
        <family val="2"/>
      </rPr>
      <t xml:space="preserve"> = </t>
    </r>
  </si>
  <si>
    <r>
      <t>EIRP</t>
    </r>
    <r>
      <rPr>
        <sz val="8"/>
        <rFont val="Arial"/>
        <family val="2"/>
      </rPr>
      <t>S/C</t>
    </r>
    <r>
      <rPr>
        <sz val="10"/>
        <rFont val="Arial"/>
        <family val="2"/>
      </rPr>
      <t xml:space="preserve"> =</t>
    </r>
  </si>
  <si>
    <r>
      <t xml:space="preserve">   L</t>
    </r>
    <r>
      <rPr>
        <sz val="8"/>
        <rFont val="Arial"/>
        <family val="2"/>
      </rPr>
      <t>Tother</t>
    </r>
    <r>
      <rPr>
        <sz val="10"/>
        <rFont val="Arial"/>
        <family val="2"/>
      </rPr>
      <t xml:space="preserve"> =</t>
    </r>
  </si>
  <si>
    <t xml:space="preserve">     Total Link Losses:</t>
  </si>
  <si>
    <r>
      <t xml:space="preserve">    L</t>
    </r>
    <r>
      <rPr>
        <sz val="8"/>
        <rFont val="Arial"/>
        <family val="2"/>
      </rPr>
      <t>P</t>
    </r>
    <r>
      <rPr>
        <sz val="10"/>
        <rFont val="Arial"/>
        <family val="2"/>
      </rPr>
      <t xml:space="preserve"> =</t>
    </r>
  </si>
  <si>
    <r>
      <t xml:space="preserve">    G</t>
    </r>
    <r>
      <rPr>
        <sz val="8"/>
        <rFont val="Arial"/>
        <family val="2"/>
      </rPr>
      <t>R</t>
    </r>
    <r>
      <rPr>
        <sz val="10"/>
        <rFont val="Arial"/>
        <family val="2"/>
      </rPr>
      <t xml:space="preserve"> =</t>
    </r>
  </si>
  <si>
    <r>
      <t xml:space="preserve">     L</t>
    </r>
    <r>
      <rPr>
        <sz val="8"/>
        <rFont val="Arial"/>
        <family val="2"/>
      </rPr>
      <t>C</t>
    </r>
    <r>
      <rPr>
        <sz val="10"/>
        <rFont val="Arial"/>
        <family val="2"/>
      </rPr>
      <t xml:space="preserve"> =</t>
    </r>
  </si>
  <si>
    <t>Angle between S/C antenna symmetry axis</t>
  </si>
  <si>
    <t>GROUND RCVR Eb/No:</t>
  </si>
  <si>
    <t>SOME KEY ORBIT &amp; LINK PARAMETERS</t>
  </si>
  <si>
    <r>
      <t xml:space="preserve">    L</t>
    </r>
    <r>
      <rPr>
        <sz val="8"/>
        <rFont val="Arial"/>
        <family val="2"/>
      </rPr>
      <t>B</t>
    </r>
    <r>
      <rPr>
        <sz val="10"/>
        <rFont val="Arial"/>
        <family val="2"/>
      </rPr>
      <t xml:space="preserve"> = </t>
    </r>
  </si>
  <si>
    <r>
      <t xml:space="preserve">    L</t>
    </r>
    <r>
      <rPr>
        <sz val="8"/>
        <rFont val="Arial"/>
        <family val="2"/>
      </rPr>
      <t>A</t>
    </r>
    <r>
      <rPr>
        <sz val="10"/>
        <rFont val="Arial"/>
        <family val="2"/>
      </rPr>
      <t xml:space="preserve"> =</t>
    </r>
  </si>
  <si>
    <r>
      <t xml:space="preserve">   L</t>
    </r>
    <r>
      <rPr>
        <sz val="8"/>
        <rFont val="Arial"/>
        <family val="2"/>
      </rPr>
      <t xml:space="preserve">Rbpf </t>
    </r>
    <r>
      <rPr>
        <sz val="10"/>
        <rFont val="Arial"/>
        <family val="2"/>
      </rPr>
      <t>=</t>
    </r>
  </si>
  <si>
    <r>
      <t xml:space="preserve">   L</t>
    </r>
    <r>
      <rPr>
        <sz val="8"/>
        <rFont val="Arial"/>
        <family val="2"/>
      </rPr>
      <t>total</t>
    </r>
    <r>
      <rPr>
        <sz val="10"/>
        <rFont val="Arial"/>
        <family val="2"/>
      </rPr>
      <t xml:space="preserve"> =</t>
    </r>
  </si>
  <si>
    <r>
      <t xml:space="preserve">    G</t>
    </r>
    <r>
      <rPr>
        <sz val="8"/>
        <rFont val="Arial"/>
        <family val="2"/>
      </rPr>
      <t>LNA</t>
    </r>
    <r>
      <rPr>
        <sz val="10"/>
        <rFont val="Arial"/>
        <family val="2"/>
      </rPr>
      <t xml:space="preserve"> =</t>
    </r>
  </si>
  <si>
    <r>
      <t xml:space="preserve">    T</t>
    </r>
    <r>
      <rPr>
        <sz val="8"/>
        <rFont val="Arial"/>
        <family val="2"/>
      </rPr>
      <t>LNA</t>
    </r>
    <r>
      <rPr>
        <sz val="10"/>
        <rFont val="Arial"/>
        <family val="2"/>
      </rPr>
      <t xml:space="preserve"> =</t>
    </r>
  </si>
  <si>
    <r>
      <t xml:space="preserve">  T</t>
    </r>
    <r>
      <rPr>
        <sz val="8"/>
        <rFont val="Arial"/>
        <family val="2"/>
      </rPr>
      <t>2nd amp</t>
    </r>
    <r>
      <rPr>
        <sz val="10"/>
        <rFont val="Arial"/>
        <family val="2"/>
      </rPr>
      <t xml:space="preserve"> =</t>
    </r>
  </si>
  <si>
    <r>
      <t xml:space="preserve">    B</t>
    </r>
    <r>
      <rPr>
        <sz val="8"/>
        <rFont val="Arial"/>
        <family val="2"/>
      </rPr>
      <t xml:space="preserve">Rbpf  </t>
    </r>
    <r>
      <rPr>
        <sz val="10"/>
        <rFont val="Arial"/>
        <family val="2"/>
      </rPr>
      <t>=</t>
    </r>
  </si>
  <si>
    <t>(Used only in S/N Calc.)</t>
  </si>
  <si>
    <t xml:space="preserve">   F.E.C. Decoder Type:</t>
  </si>
  <si>
    <t xml:space="preserve"> F.E.C. Decoder Type:</t>
  </si>
  <si>
    <t xml:space="preserve">   F.E.C. Encoder Type:</t>
  </si>
  <si>
    <t xml:space="preserve">     F.E.C. Encoder Type:</t>
  </si>
  <si>
    <t xml:space="preserve">     Demodulator Type:</t>
  </si>
  <si>
    <r>
      <t xml:space="preserve"> E</t>
    </r>
    <r>
      <rPr>
        <sz val="8"/>
        <rFont val="Arial"/>
        <family val="2"/>
      </rPr>
      <t>b</t>
    </r>
    <r>
      <rPr>
        <sz val="10"/>
        <rFont val="Arial"/>
        <family val="2"/>
      </rPr>
      <t>/N</t>
    </r>
    <r>
      <rPr>
        <sz val="8"/>
        <rFont val="Arial"/>
        <family val="2"/>
      </rPr>
      <t>o</t>
    </r>
    <r>
      <rPr>
        <sz val="10"/>
        <rFont val="Arial"/>
        <family val="2"/>
      </rPr>
      <t xml:space="preserve"> Method:</t>
    </r>
  </si>
  <si>
    <t>silver over copper over steel 0.039" (1 mm) dia.  Typically used with SMA or even TNC connectors.  This is a very rugged cable type.</t>
  </si>
  <si>
    <t xml:space="preserve"> S/N Method:</t>
  </si>
  <si>
    <r>
      <t xml:space="preserve">  E</t>
    </r>
    <r>
      <rPr>
        <sz val="8"/>
        <rFont val="Arial"/>
        <family val="2"/>
      </rPr>
      <t>b</t>
    </r>
    <r>
      <rPr>
        <sz val="10"/>
        <rFont val="Arial"/>
        <family val="2"/>
      </rPr>
      <t>/N</t>
    </r>
    <r>
      <rPr>
        <sz val="8"/>
        <rFont val="Arial"/>
        <family val="2"/>
      </rPr>
      <t>o</t>
    </r>
    <r>
      <rPr>
        <sz val="10"/>
        <rFont val="Arial"/>
        <family val="2"/>
      </rPr>
      <t xml:space="preserve"> =</t>
    </r>
  </si>
  <si>
    <t xml:space="preserve">   S/N =</t>
  </si>
  <si>
    <t xml:space="preserve">Link Margin: </t>
  </si>
  <si>
    <t xml:space="preserve">  Line C</t>
  </si>
  <si>
    <t xml:space="preserve">  Line A</t>
  </si>
  <si>
    <t xml:space="preserve">  Line B</t>
  </si>
  <si>
    <t>none</t>
  </si>
  <si>
    <t>Other In-Line Device Type:</t>
  </si>
  <si>
    <t>(See "VSWR Loss Tool" W/S)</t>
  </si>
  <si>
    <t>Measured or Estimated VSWR:</t>
  </si>
  <si>
    <t>Transmitter Power Output:</t>
  </si>
  <si>
    <t>Power Reflected and Lost:</t>
  </si>
  <si>
    <t>Power Transmitted:</t>
  </si>
  <si>
    <r>
      <t>:</t>
    </r>
    <r>
      <rPr>
        <sz val="10"/>
        <rFont val="Arial"/>
        <family val="2"/>
      </rPr>
      <t>1</t>
    </r>
  </si>
  <si>
    <t>This value should be entered in the "Transmitters" W/S</t>
  </si>
  <si>
    <t xml:space="preserve"> at Cell [I31].</t>
  </si>
  <si>
    <t>Power Loss due to Mismatch (dB):</t>
  </si>
  <si>
    <t>Forward Power Measured:</t>
  </si>
  <si>
    <t>Reverse Power Measured:</t>
  </si>
  <si>
    <t>VSWR:</t>
  </si>
  <si>
    <t xml:space="preserve">     Ground Station Systems:</t>
  </si>
  <si>
    <t>Best Internet Cable Loss Calculator:</t>
  </si>
  <si>
    <t>http://www.timesmicrowave.com/cgi-bin/calculate.pl</t>
  </si>
  <si>
    <t>2nd Best Internet Cable Loss Calculator:</t>
  </si>
  <si>
    <t>http://www.ocarc.ca/coax.htm</t>
  </si>
  <si>
    <t>Coax Cable Loss Tables:</t>
  </si>
  <si>
    <t>http://www.radio-ware.com/products/techinfo/coax.loss.htm</t>
  </si>
  <si>
    <t>http://www.meteorscatter.net/cable.htm</t>
  </si>
  <si>
    <t>Wave Guide Loss Table:</t>
  </si>
  <si>
    <t>Spacecraft Systems:</t>
  </si>
  <si>
    <t>Attenuation (dB/100 m):</t>
  </si>
  <si>
    <t>Attenuation (dB/m):</t>
  </si>
  <si>
    <t>dB/100m</t>
  </si>
  <si>
    <t>-</t>
  </si>
  <si>
    <t>dB/m</t>
  </si>
  <si>
    <t xml:space="preserve">       Frequency:</t>
  </si>
  <si>
    <t>Band:</t>
  </si>
  <si>
    <t>Cable Length:</t>
  </si>
  <si>
    <t>Cable Loss:</t>
  </si>
  <si>
    <t>for short cable runs.  The shield is silver plated copper (19 strands, each #33AWG).  Typically used with SMA or SMC connectors.</t>
  </si>
  <si>
    <t>the upper toolbar, "View", "Toolbars", and select the one called "Reviewing".  There should now be a checkmark to the left of that option.</t>
  </si>
  <si>
    <t>threshould but, is considered marginal.</t>
  </si>
  <si>
    <t xml:space="preserve">     Antenna Length:</t>
  </si>
  <si>
    <r>
      <t>Gains can also be negative (remember, the gain of an antenna is expressed as 10log(P/P</t>
    </r>
    <r>
      <rPr>
        <sz val="8"/>
        <rFont val="Arial"/>
        <family val="2"/>
      </rPr>
      <t>isotropic</t>
    </r>
    <r>
      <rPr>
        <sz val="10"/>
        <rFont val="Arial"/>
        <family val="2"/>
      </rPr>
      <t>).  So, if the gain in a particular direction, is below that of an</t>
    </r>
  </si>
  <si>
    <r>
      <t xml:space="preserve">  L</t>
    </r>
    <r>
      <rPr>
        <sz val="8"/>
        <rFont val="Arial"/>
        <family val="2"/>
      </rPr>
      <t>Rother</t>
    </r>
    <r>
      <rPr>
        <sz val="10"/>
        <rFont val="Arial"/>
        <family val="2"/>
      </rPr>
      <t xml:space="preserve"> =</t>
    </r>
  </si>
  <si>
    <r>
      <t xml:space="preserve">  L</t>
    </r>
    <r>
      <rPr>
        <sz val="8"/>
        <rFont val="Arial"/>
        <family val="2"/>
      </rPr>
      <t>Tother</t>
    </r>
    <r>
      <rPr>
        <sz val="10"/>
        <rFont val="Arial"/>
        <family val="2"/>
      </rPr>
      <t xml:space="preserve"> = </t>
    </r>
  </si>
  <si>
    <t xml:space="preserve">as being a positive value.  The argument is symantic.  The question could be asked, "Is a positive loss a negative?  And is a negative loss, positive?  </t>
  </si>
  <si>
    <t xml:space="preserve">contained in one or more of the other W/Ss.  These worksheets, taken together, constitute the link model.  The next 5 W/Ss are supplementary </t>
  </si>
  <si>
    <t>Isotropic Signal Level at Spacecraft:</t>
  </si>
  <si>
    <t>This is the signal level received in space in the vacinity of the spacecraft using an omnidirectional antenna.</t>
  </si>
  <si>
    <t>Revised All "Pop-up" Notes; Corrected some cell colors to improve consistancy; Added reference 9; Corrected cells A19 &amp; D19 in "Uplink" W/S.</t>
  </si>
  <si>
    <r>
      <t>RG-188 A/U:</t>
    </r>
    <r>
      <rPr>
        <sz val="10"/>
        <rFont val="Arial"/>
        <family val="2"/>
      </rPr>
      <t xml:space="preserve">  A PTFE (Teflon)-wrapped "clean" cable for general purpose spacecraft transmission lines.</t>
    </r>
  </si>
  <si>
    <r>
      <t xml:space="preserve">Measured </t>
    </r>
    <r>
      <rPr>
        <b/>
        <sz val="10"/>
        <rFont val="Arial"/>
        <family val="2"/>
      </rPr>
      <t>Z</t>
    </r>
    <r>
      <rPr>
        <b/>
        <sz val="8"/>
        <rFont val="Arial"/>
        <family val="2"/>
      </rPr>
      <t>tx</t>
    </r>
    <r>
      <rPr>
        <sz val="10"/>
        <rFont val="Arial"/>
        <family val="2"/>
      </rPr>
      <t>:</t>
    </r>
  </si>
  <si>
    <r>
      <t xml:space="preserve">Measured </t>
    </r>
    <r>
      <rPr>
        <b/>
        <sz val="10"/>
        <rFont val="Arial"/>
        <family val="2"/>
      </rPr>
      <t>Z</t>
    </r>
    <r>
      <rPr>
        <b/>
        <sz val="8"/>
        <rFont val="Arial"/>
        <family val="2"/>
      </rPr>
      <t>sys</t>
    </r>
    <r>
      <rPr>
        <sz val="10"/>
        <rFont val="Arial"/>
        <family val="2"/>
      </rPr>
      <t>:</t>
    </r>
  </si>
  <si>
    <t>Losses are moderate per unit length as the cable diameter is  0.195" (4.95 mm).  The losses are quite acceptable even</t>
  </si>
  <si>
    <t>Organization:</t>
  </si>
  <si>
    <t xml:space="preserve">      S/C Spinning and NADIR-Pointing at Apogee</t>
  </si>
  <si>
    <t>Height of Apogee:</t>
  </si>
  <si>
    <t>Height of Perigee:</t>
  </si>
  <si>
    <t>CASE NO. SELECTED:</t>
  </si>
  <si>
    <t>km Altitude</t>
  </si>
  <si>
    <t>CASE:</t>
  </si>
  <si>
    <t>R(km):</t>
  </si>
  <si>
    <t>M(deg.):</t>
  </si>
  <si>
    <t>altitude (km):</t>
  </si>
  <si>
    <t>S/C off-point angle:</t>
  </si>
  <si>
    <t xml:space="preserve">S/C rcvr. ant. temp.(K) </t>
  </si>
  <si>
    <t>WORST CASE SQUINT ANGLE:</t>
  </si>
  <si>
    <t>RX ANTENNA POINTING LOSS:</t>
  </si>
  <si>
    <t>TX ANTENNA POINTING LOSS:</t>
  </si>
  <si>
    <t>User Defined Case:</t>
  </si>
  <si>
    <t>System Orbit Characteristics:</t>
  </si>
  <si>
    <t>Low Earth Orbit Properties</t>
  </si>
  <si>
    <t>HEO Orbit Properties</t>
  </si>
  <si>
    <t>Comment(s):</t>
  </si>
  <si>
    <t>Earth Central Angle:</t>
  </si>
  <si>
    <t>User Azimuth Angle:</t>
  </si>
  <si>
    <t>This is the azimuth angle to the GEO spacecraft from the User (latitude and longitude) site.</t>
  </si>
  <si>
    <t>User #1:</t>
  </si>
  <si>
    <t>Geostationary Altitude:</t>
  </si>
  <si>
    <t>Height Above Geoid</t>
  </si>
  <si>
    <t>Equatorial Radius of Earth (Re):</t>
  </si>
  <si>
    <t>Geostationary semi major axis</t>
  </si>
  <si>
    <t>Accurate to 1/10 meter</t>
  </si>
  <si>
    <t>Typical Path Length:</t>
  </si>
  <si>
    <t>Shortest Path Length:</t>
  </si>
  <si>
    <t>Longest Path Length:</t>
  </si>
  <si>
    <t>Path Length to User Terminal from Spacecraft</t>
  </si>
  <si>
    <t>User at typical Longitude difference from satellite and at mean latitude.</t>
  </si>
  <si>
    <t>User at same longitude as satellite and at the equator</t>
  </si>
  <si>
    <t>LEO Orbit -  Option #1</t>
  </si>
  <si>
    <t>High Earth Orbit (HEO) - Option #2</t>
  </si>
  <si>
    <t>User Latitude:</t>
  </si>
  <si>
    <t>User Longitude:</t>
  </si>
  <si>
    <t>+ = North Latitude; - = South Latitude</t>
  </si>
  <si>
    <t>+ = East Longitude; - = West Longitude</t>
  </si>
  <si>
    <t>Slant Range to User:</t>
  </si>
  <si>
    <t>Geostationary Earth Orbit (GEO) - Option #3</t>
  </si>
  <si>
    <t>User at  max. longitude difference from satellite and at max. latitude (0.0° User Elevation Angle).</t>
  </si>
  <si>
    <t>LEO</t>
  </si>
  <si>
    <t>HEO</t>
  </si>
  <si>
    <t>GEO</t>
  </si>
  <si>
    <t>Select Orbit Option:</t>
  </si>
  <si>
    <t>Slant Range:</t>
  </si>
  <si>
    <t>Used in Path Loss Calculation</t>
  </si>
  <si>
    <t>Option No.:</t>
  </si>
  <si>
    <t xml:space="preserve">   Slant Range (S): </t>
  </si>
  <si>
    <t>User Elevation Angle:</t>
  </si>
  <si>
    <t xml:space="preserve">for longer S/C cable runs.  The cable is double shielded with two silver coated copper braids.  The center conductor is </t>
  </si>
  <si>
    <t>Losses are moderate per unit length as the cable diameter is  0.170" (4.32 mm).  The losses are quite acceptable even</t>
  </si>
  <si>
    <t>This is the most commonly used cable for short coax runs in very small spacecraft but, connector installation is moderately difficult.</t>
  </si>
  <si>
    <t>solid copper AWG #18.  Typically used with SMA or even TNC connectors.  Connector installation is moderately difficult.</t>
  </si>
  <si>
    <t>Data courtesy K1TTT, W3LPL, PE1OYF, DJ5RH</t>
  </si>
  <si>
    <t>Data courtesy K1TTT, W3LPL,PE1OYF, DJ5RH</t>
  </si>
  <si>
    <r>
      <t>RG-142 A/U:</t>
    </r>
    <r>
      <rPr>
        <sz val="10"/>
        <rFont val="Arial"/>
        <family val="2"/>
      </rPr>
      <t xml:space="preserve">  An FEP (Teflon) solid covered "clean" cable for general purpose spacecraft transmission lines.</t>
    </r>
  </si>
  <si>
    <t>Can not find data source. Data estimated by VK4GEY.</t>
  </si>
  <si>
    <t>Ground Station Feedline Temperature:</t>
  </si>
  <si>
    <r>
      <t>RG-303 /U:</t>
    </r>
    <r>
      <rPr>
        <sz val="10"/>
        <rFont val="Arial"/>
        <family val="2"/>
      </rPr>
      <t xml:space="preserve">  A PTFE (Teflon) solid covered "clean" cable for ruggedized spacecraft transmission line applications.</t>
    </r>
  </si>
  <si>
    <r>
      <t xml:space="preserve">50 </t>
    </r>
    <r>
      <rPr>
        <sz val="10"/>
        <rFont val="Symbol"/>
        <family val="1"/>
        <charset val="2"/>
      </rPr>
      <t>W</t>
    </r>
    <r>
      <rPr>
        <sz val="10"/>
        <rFont val="Arial"/>
        <family val="2"/>
      </rPr>
      <t xml:space="preserve"> </t>
    </r>
    <r>
      <rPr>
        <b/>
        <sz val="10"/>
        <rFont val="Arial"/>
        <family val="2"/>
      </rPr>
      <t xml:space="preserve">Semi-Rigid Cable (0.085" dia.):  </t>
    </r>
    <r>
      <rPr>
        <sz val="10"/>
        <rFont val="Arial"/>
        <family val="2"/>
      </rPr>
      <t xml:space="preserve">Semi-Rigid cable is intended to be bent and/or formed one time and then left in position.  This   </t>
    </r>
  </si>
  <si>
    <t>Turbo Code (Parallel w. Interleaver)</t>
  </si>
  <si>
    <t>2.1.4</t>
  </si>
  <si>
    <t>Added Tubo Code Option to "Modulation-Demodulation Method" W/S.</t>
  </si>
  <si>
    <t xml:space="preserve">(2.18 mm) and a solid copper inner conductor.  SMA, SMC or TNC connectors can be used and are easily installed.    </t>
  </si>
  <si>
    <t xml:space="preserve">Losses are superior to flexible cables.  </t>
  </si>
  <si>
    <t>Data extrapolated by VK4GEY</t>
  </si>
  <si>
    <r>
      <t xml:space="preserve">50 </t>
    </r>
    <r>
      <rPr>
        <sz val="10"/>
        <rFont val="Symbol"/>
        <family val="1"/>
        <charset val="2"/>
      </rPr>
      <t>W</t>
    </r>
    <r>
      <rPr>
        <sz val="10"/>
        <rFont val="Arial"/>
        <family val="2"/>
      </rPr>
      <t xml:space="preserve"> </t>
    </r>
    <r>
      <rPr>
        <b/>
        <sz val="10"/>
        <rFont val="Arial"/>
        <family val="2"/>
      </rPr>
      <t xml:space="preserve">Semi-Rigid Cable (0.141" dia.):  </t>
    </r>
    <r>
      <rPr>
        <sz val="10"/>
        <rFont val="Arial"/>
        <family val="2"/>
      </rPr>
      <t xml:space="preserve">Semi-Rigid cable is intended to be bent and/or formed one time and then left in position.  This   </t>
    </r>
  </si>
  <si>
    <t xml:space="preserve">(3.58 mm) and a solid copper inner conductor.  SMA, SMC or TNC connectors can be used and are easily installed.    </t>
  </si>
  <si>
    <r>
      <t>Data courtesy Storm Products Co. [</t>
    </r>
    <r>
      <rPr>
        <b/>
        <sz val="10"/>
        <rFont val="Arial"/>
        <family val="2"/>
      </rPr>
      <t>Bold Text</t>
    </r>
    <r>
      <rPr>
        <sz val="10"/>
        <rFont val="Arial"/>
        <family val="2"/>
      </rPr>
      <t>].</t>
    </r>
  </si>
  <si>
    <r>
      <t>Data courtesy Storm Products Co.[</t>
    </r>
    <r>
      <rPr>
        <b/>
        <sz val="10"/>
        <rFont val="Arial"/>
        <family val="2"/>
      </rPr>
      <t>Bold Text</t>
    </r>
    <r>
      <rPr>
        <sz val="10"/>
        <rFont val="Arial"/>
        <family val="2"/>
      </rPr>
      <t>].</t>
    </r>
  </si>
  <si>
    <t>Don't Change These Formulas</t>
  </si>
  <si>
    <t>W</t>
  </si>
  <si>
    <t>TEST 1</t>
  </si>
  <si>
    <t>TEST 2</t>
  </si>
  <si>
    <t>% of Power</t>
  </si>
  <si>
    <t>Manually Enter Results of Test #1 or Test #2 at Cell [H8]</t>
  </si>
  <si>
    <r>
      <t>|Z</t>
    </r>
    <r>
      <rPr>
        <sz val="8"/>
        <rFont val="Arial"/>
        <family val="2"/>
      </rPr>
      <t>tx</t>
    </r>
    <r>
      <rPr>
        <sz val="10"/>
        <rFont val="Arial"/>
        <family val="2"/>
      </rPr>
      <t>| =</t>
    </r>
  </si>
  <si>
    <r>
      <t>|Z</t>
    </r>
    <r>
      <rPr>
        <sz val="8"/>
        <rFont val="Arial"/>
        <family val="2"/>
      </rPr>
      <t>sys</t>
    </r>
    <r>
      <rPr>
        <sz val="10"/>
        <rFont val="Arial"/>
        <family val="2"/>
      </rPr>
      <t>| =</t>
    </r>
  </si>
  <si>
    <t>Wave Guide Primer:</t>
  </si>
  <si>
    <t>http://www.microwaves101.com/encyclopedia/waveguide.cfm#frequency</t>
  </si>
  <si>
    <t>http://www.advancedmicrowave.com/products/product_frame.htm</t>
  </si>
  <si>
    <t>Transmission Line Loss Tools and Tables:</t>
  </si>
  <si>
    <t>Commonly Used Spacecraft Antenna Radiation Patterns</t>
  </si>
  <si>
    <t>Monopole:</t>
  </si>
  <si>
    <t>Dipole:</t>
  </si>
  <si>
    <t>monopole</t>
  </si>
  <si>
    <t>dipole</t>
  </si>
  <si>
    <t>canted turnstyle</t>
  </si>
  <si>
    <t>quadrifilar helix</t>
  </si>
  <si>
    <t>Monopole Polar Radiation Plot</t>
  </si>
  <si>
    <t>HERE</t>
  </si>
  <si>
    <t>Turnstyle:</t>
  </si>
  <si>
    <t>Quadrifilar:</t>
  </si>
  <si>
    <t>Patch:</t>
  </si>
  <si>
    <t>Quadrifilar Polar Radiation Plot</t>
  </si>
  <si>
    <t>Patch Antenna Polar Radiation Plot</t>
  </si>
  <si>
    <t>NOTE #1:</t>
  </si>
  <si>
    <t>NOTE #2:</t>
  </si>
  <si>
    <t>NOTE #3:</t>
  </si>
  <si>
    <t>NOTE #4:</t>
  </si>
  <si>
    <t>NOTE #5:</t>
  </si>
  <si>
    <t>NOTE #6</t>
  </si>
  <si>
    <t>AMSAT / IARU Annotated Link Model System</t>
  </si>
  <si>
    <t xml:space="preserve">                    Approvals:</t>
  </si>
  <si>
    <t>Com. Eng.</t>
  </si>
  <si>
    <t>(LEO, HEO, GEO, Deep Space)</t>
  </si>
  <si>
    <t>Orbit Option to be Used in</t>
  </si>
  <si>
    <t>Link Model</t>
  </si>
  <si>
    <t>Config. Control</t>
  </si>
  <si>
    <t>NOTE #7:</t>
  </si>
  <si>
    <t>STATUS</t>
  </si>
  <si>
    <t>LINK MODEL</t>
  </si>
  <si>
    <r>
      <t xml:space="preserve">         Data Taken from </t>
    </r>
    <r>
      <rPr>
        <i/>
        <sz val="10"/>
        <rFont val="Arial"/>
        <family val="2"/>
      </rPr>
      <t>ARRL Antenna Book</t>
    </r>
  </si>
  <si>
    <t xml:space="preserve">  Command Link</t>
  </si>
  <si>
    <t xml:space="preserve">  Telemetry Link:</t>
  </si>
  <si>
    <t xml:space="preserve">      COMMAND</t>
  </si>
  <si>
    <t xml:space="preserve">        TELEMETRY</t>
  </si>
  <si>
    <t xml:space="preserve">           NOTE:</t>
  </si>
  <si>
    <t>Proceed to the "Modulation-Demodulation Method" W/S.</t>
  </si>
  <si>
    <t>If the "Link Model Operator" has selected a</t>
  </si>
  <si>
    <t xml:space="preserve">user option for the frequency, then an </t>
  </si>
  <si>
    <t>estimate of the ionospheric losses must be</t>
  </si>
  <si>
    <t>provided by the operator.</t>
  </si>
  <si>
    <t xml:space="preserve">   (See Plot at Next Worksheet)</t>
  </si>
  <si>
    <t xml:space="preserve">Losses Resulting from  Antenna Mismatch - Measured Using Voltage Standing Wave Ratio(VSWR) Method </t>
  </si>
  <si>
    <t>NOTE #8:</t>
  </si>
  <si>
    <t>Antenna Loss Determination:</t>
  </si>
  <si>
    <t>Introduction,  Instructions for Use,  References,  Revisions:</t>
  </si>
  <si>
    <t xml:space="preserve">  Introduction:</t>
  </si>
  <si>
    <t xml:space="preserve">This spreadsheet system is an attempt to provide a new kind of learning tool.  It is intended, clearly, to be a working link model  in order to allow satellite  </t>
  </si>
  <si>
    <t xml:space="preserve">   Instructions for Use:</t>
  </si>
  <si>
    <t>Colors:</t>
  </si>
  <si>
    <t xml:space="preserve">Also, the cells are not yet protected (and may never be) as the system has not yet been finalized. Color can be used to provide "coded" messages to  </t>
  </si>
  <si>
    <t xml:space="preserve">Color is used for both the text and the cell background.  Some colors have been picked for large field areas where it is not so nice to have the </t>
  </si>
  <si>
    <t>Excel cell grid structure showing.  Typically, light grey</t>
  </si>
  <si>
    <t>light green</t>
  </si>
  <si>
    <t>light yellow</t>
  </si>
  <si>
    <t>or white are used this way.</t>
  </si>
  <si>
    <t xml:space="preserve"> your cursor on the cell.  You don't need to click.  A note will pop up.  These are either local instructions on how to enter data or use </t>
  </si>
  <si>
    <t>data or some form of training note.   You will find that some notes are somewhat larger than the screen.  I've tried hard to avoid this, but</t>
  </si>
  <si>
    <t xml:space="preserve">the screen then the note will close.  Frustration will ensue.  There are two solutions:  1) Reduce the scale of the viewing page from </t>
  </si>
  <si>
    <t xml:space="preserve">I haven't been entirely successful.  The problem with this is that if you scroll to see the rest of the note and if the yellow cell scrolls off of </t>
  </si>
  <si>
    <t xml:space="preserve">Now, you should find a new toolbar up above the text area of Excel.  The far left icon will say "new comment" if you are making a new   </t>
  </si>
  <si>
    <t xml:space="preserve">  Sometimes a tan color cell is used to denote a selected system condition that is non-numeric.</t>
  </si>
  <si>
    <t>X.XX</t>
  </si>
  <si>
    <t>received this link model.</t>
  </si>
  <si>
    <t xml:space="preserve">the link model operator's brain, once it has been used for awhile.  This has been found by the designer to be fairly effective (at least with his brain).   </t>
  </si>
  <si>
    <t>are interconnected in that equations in one W/S refer forward or back to data located in other worksheets. Loss of this connection could be critical.</t>
  </si>
  <si>
    <t>majority of the link model contains this type of cell.</t>
  </si>
  <si>
    <t>the outcome of the preceeding calculations.  Typically a RED box means the result was not successful in achieving the desired performance.</t>
  </si>
  <si>
    <t xml:space="preserve">A GREEN box means the result did meet or exceed the desired performance.  A YELLOW box means the result achieved the performance </t>
  </si>
  <si>
    <t xml:space="preserve">    Sub-Title Box</t>
  </si>
  <si>
    <t>No action need be taken here.  It's purpose is only so that the operator is aware that the data is being transferred from and to other locations.</t>
  </si>
  <si>
    <t>Frequency</t>
  </si>
  <si>
    <t xml:space="preserve"> Non-Coherent FSK</t>
  </si>
  <si>
    <r>
      <t xml:space="preserve">been successful. - Jan A. King, W3GEY and VK4GEY; </t>
    </r>
    <r>
      <rPr>
        <sz val="10"/>
        <rFont val="Arial"/>
        <family val="2"/>
      </rPr>
      <t>w3gey@amsat.org</t>
    </r>
  </si>
  <si>
    <t xml:space="preserve">  A few cells use conditional fomatting which allow the cell colors to change depending on </t>
  </si>
  <si>
    <t xml:space="preserve">isotropic radiator, then the gain will be expressed as a negative number in dBi.  </t>
  </si>
  <si>
    <t xml:space="preserve">  An olive green box is a location where data has been transferred to this worksheet from another and may be transferred to yet another.</t>
  </si>
  <si>
    <t xml:space="preserve">  A pink box like this is simply a sub-title for a sub-worksheet.</t>
  </si>
  <si>
    <t>2.1.1</t>
  </si>
  <si>
    <t xml:space="preserve">Revised Equation at Cell [B15] of "Uplink Budget" W/S.  Index function should use column H values not column C values. </t>
  </si>
  <si>
    <t xml:space="preserve">  This is a key "bottom line" result.  It is a primary output of a particular W/S.</t>
  </si>
  <si>
    <t>2.2.2</t>
  </si>
  <si>
    <t xml:space="preserve">Edited More Notes Throughout Link Model.  </t>
  </si>
  <si>
    <r>
      <t xml:space="preserve">  This is a cell containing an equation or a constant that should not be changed.  </t>
    </r>
    <r>
      <rPr>
        <b/>
        <sz val="10"/>
        <color indexed="10"/>
        <rFont val="Arial"/>
        <family val="2"/>
      </rPr>
      <t>The operator should not modify these cells.</t>
    </r>
    <r>
      <rPr>
        <sz val="10"/>
        <rFont val="Arial"/>
        <family val="2"/>
      </rPr>
      <t xml:space="preserve">  A</t>
    </r>
  </si>
  <si>
    <t xml:space="preserve">  This is a data entry cell.  The link model operator is expected to enter data.  The blue background means it is a critcal </t>
  </si>
  <si>
    <t>Dish Diameter:</t>
  </si>
  <si>
    <t>Dish Aperture Efficiency:</t>
  </si>
  <si>
    <t>This value is selected at "Antenna Gain" W/S, Cell [E24]</t>
  </si>
  <si>
    <t>This value is selected at "Antenna Gain" W/S, Cell [E11]</t>
  </si>
  <si>
    <t>This value is calculated in the "Antenna Pointing Losses" W/S, and transferred from Cell [K43]</t>
  </si>
  <si>
    <t>This value is selected at "Antenna Gain" W/S, Cell [E41]</t>
  </si>
  <si>
    <t>This value is calculated in the "Antenna Pointing Losses" W/S, and trasferred from Cell [K85]</t>
  </si>
  <si>
    <t>LEO Orbit Geometry</t>
  </si>
  <si>
    <t>Orbit</t>
  </si>
  <si>
    <t>Geometry</t>
  </si>
  <si>
    <t>This value is transferred from "Antenna Pointing Losses" W/S, Cell [K102]</t>
  </si>
  <si>
    <t>This value is selected at "Antenna Gain" W/S, Cell [E58]</t>
  </si>
  <si>
    <t>Revised Antenna Gain and Antenna Pointing Losses W/Ss to Include a High Gain (Parabolic Reflector) S/C Antenna Option &amp; Iso. Radiator Option.</t>
  </si>
  <si>
    <t xml:space="preserve">  This is a "pop-up" note.  You will see a lot of single cells throughout the model that look like this.  Using your mouse, place </t>
  </si>
  <si>
    <t xml:space="preserve">  Colors are used in the link model to make it easier to find data and to protect the link model from crashing.  Many of the worksheets</t>
  </si>
  <si>
    <t>2.1.3</t>
  </si>
  <si>
    <t>Modified "Receviers" W/S.  Added loss value for cable D.  Modified 2nd Stage to "Communications Receiver" at Ground Station.</t>
  </si>
  <si>
    <r>
      <t>T</t>
    </r>
    <r>
      <rPr>
        <sz val="8"/>
        <rFont val="Arial"/>
        <family val="2"/>
      </rPr>
      <t>ComRcvr</t>
    </r>
  </si>
  <si>
    <r>
      <t>T</t>
    </r>
    <r>
      <rPr>
        <b/>
        <sz val="8"/>
        <rFont val="Arial"/>
        <family val="2"/>
      </rPr>
      <t>s</t>
    </r>
    <r>
      <rPr>
        <b/>
        <sz val="10"/>
        <rFont val="Arial"/>
        <family val="2"/>
      </rPr>
      <t>= (</t>
    </r>
    <r>
      <rPr>
        <b/>
        <sz val="10"/>
        <rFont val="Symbol"/>
        <family val="1"/>
        <charset val="2"/>
      </rPr>
      <t>a</t>
    </r>
    <r>
      <rPr>
        <b/>
        <sz val="10"/>
        <rFont val="Arial"/>
        <family val="2"/>
      </rPr>
      <t>)T</t>
    </r>
    <r>
      <rPr>
        <b/>
        <sz val="8"/>
        <rFont val="Arial"/>
        <family val="2"/>
      </rPr>
      <t>a</t>
    </r>
    <r>
      <rPr>
        <b/>
        <sz val="10"/>
        <rFont val="Arial"/>
        <family val="2"/>
      </rPr>
      <t xml:space="preserve"> + (1-</t>
    </r>
    <r>
      <rPr>
        <b/>
        <sz val="10"/>
        <rFont val="Symbol"/>
        <family val="1"/>
        <charset val="2"/>
      </rPr>
      <t>a</t>
    </r>
    <r>
      <rPr>
        <b/>
        <sz val="10"/>
        <rFont val="Arial"/>
        <family val="2"/>
      </rPr>
      <t>)T</t>
    </r>
    <r>
      <rPr>
        <b/>
        <sz val="8"/>
        <rFont val="Arial"/>
        <family val="2"/>
      </rPr>
      <t xml:space="preserve">o + </t>
    </r>
    <r>
      <rPr>
        <b/>
        <sz val="10"/>
        <rFont val="Arial"/>
        <family val="2"/>
      </rPr>
      <t>T</t>
    </r>
    <r>
      <rPr>
        <b/>
        <sz val="8"/>
        <rFont val="Arial"/>
        <family val="2"/>
      </rPr>
      <t>LNA +</t>
    </r>
    <r>
      <rPr>
        <b/>
        <sz val="10"/>
        <rFont val="Arial"/>
        <family val="2"/>
      </rPr>
      <t xml:space="preserve"> T</t>
    </r>
    <r>
      <rPr>
        <b/>
        <sz val="8"/>
        <rFont val="Arial"/>
        <family val="2"/>
      </rPr>
      <t>ComRcv</t>
    </r>
    <r>
      <rPr>
        <b/>
        <sz val="10"/>
        <rFont val="Arial"/>
        <family val="2"/>
      </rPr>
      <t>r/(G</t>
    </r>
    <r>
      <rPr>
        <b/>
        <sz val="8"/>
        <rFont val="Arial"/>
        <family val="2"/>
      </rPr>
      <t>LNA</t>
    </r>
    <r>
      <rPr>
        <b/>
        <sz val="10"/>
        <rFont val="Arial"/>
        <family val="2"/>
      </rPr>
      <t>/L</t>
    </r>
    <r>
      <rPr>
        <b/>
        <sz val="8"/>
        <rFont val="Arial"/>
        <family val="2"/>
      </rPr>
      <t>D</t>
    </r>
    <r>
      <rPr>
        <b/>
        <sz val="10"/>
        <rFont val="Arial"/>
        <family val="2"/>
      </rPr>
      <t>)</t>
    </r>
  </si>
  <si>
    <r>
      <t>T</t>
    </r>
    <r>
      <rPr>
        <sz val="8"/>
        <rFont val="Arial"/>
        <family val="2"/>
      </rPr>
      <t>ComRcvr</t>
    </r>
    <r>
      <rPr>
        <sz val="10"/>
        <rFont val="Arial"/>
        <family val="2"/>
      </rPr>
      <t xml:space="preserve"> </t>
    </r>
    <r>
      <rPr>
        <sz val="10"/>
        <rFont val="Symbol"/>
        <family val="1"/>
        <charset val="2"/>
      </rPr>
      <t>º</t>
    </r>
    <r>
      <rPr>
        <sz val="10"/>
        <rFont val="Arial"/>
        <family val="2"/>
      </rPr>
      <t xml:space="preserve">  Noise Temperature of Communications Receiver Front End (</t>
    </r>
    <r>
      <rPr>
        <sz val="10"/>
        <rFont val="Arial"/>
        <family val="2"/>
      </rPr>
      <t>°K)</t>
    </r>
  </si>
  <si>
    <t>meteres</t>
  </si>
  <si>
    <t>Cable/Waveguide D Length:</t>
  </si>
  <si>
    <t>Cable/Waveguide D Type:</t>
  </si>
  <si>
    <t>Belden 9913 cable</t>
  </si>
  <si>
    <t>Cable/Waveguide D Loss/meter:</t>
  </si>
  <si>
    <t>Cable/Waveguide D Loss:</t>
  </si>
  <si>
    <r>
      <t>T</t>
    </r>
    <r>
      <rPr>
        <sz val="8"/>
        <rFont val="Arial"/>
        <family val="2"/>
      </rPr>
      <t>ComRcvr</t>
    </r>
    <r>
      <rPr>
        <sz val="10"/>
        <rFont val="Arial"/>
        <family val="2"/>
      </rPr>
      <t xml:space="preserve"> =</t>
    </r>
  </si>
  <si>
    <t>system designers to design and then document fully the RF radio links associated with Command (uplink)  and Telemetry (downlink) equipment.  It is,</t>
  </si>
  <si>
    <r>
      <t xml:space="preserve">to the model and are considered to be </t>
    </r>
    <r>
      <rPr>
        <i/>
        <sz val="10"/>
        <rFont val="Arial"/>
        <family val="2"/>
      </rPr>
      <t>tools</t>
    </r>
    <r>
      <rPr>
        <sz val="10"/>
        <rFont val="Arial"/>
        <family val="2"/>
      </rPr>
      <t xml:space="preserve">.  The important distinction is, that tools </t>
    </r>
    <r>
      <rPr>
        <i/>
        <sz val="10"/>
        <rFont val="Arial"/>
        <family val="2"/>
      </rPr>
      <t>never</t>
    </r>
    <r>
      <rPr>
        <sz val="10"/>
        <rFont val="Arial"/>
        <family val="2"/>
      </rPr>
      <t xml:space="preserve"> produce results that are automatically linked </t>
    </r>
  </si>
  <si>
    <t xml:space="preserve">  The first 13 W/Ss are all interconnected, in that they all have equations that make use of data </t>
  </si>
  <si>
    <t>Losses in link budgets are commonly found as either positive or negative.  A loss, by it's nature, is a negative quantity but, some believe that if the loss</t>
  </si>
  <si>
    <t xml:space="preserve">  Speciality W/S vs. Tools:</t>
  </si>
  <si>
    <t xml:space="preserve"> Gains and Losses:</t>
  </si>
  <si>
    <t xml:space="preserve">into the model itself, whereas within the first 13 W/Ss there is lots of interlinking going on.  The primary process is one where data </t>
  </si>
  <si>
    <t>Noise Temperature/Noise Figure Calculator (Tool):</t>
  </si>
  <si>
    <r>
      <t xml:space="preserve">example of this is in the "Receivers" W/S.  Contained in separate sub-tables is a </t>
    </r>
    <r>
      <rPr>
        <i/>
        <sz val="10"/>
        <rFont val="Arial"/>
        <family val="2"/>
      </rPr>
      <t>Noise Figure/Noise Temperature Calculator (Tool)</t>
    </r>
    <r>
      <rPr>
        <sz val="10"/>
        <rFont val="Arial"/>
        <family val="2"/>
      </rPr>
      <t xml:space="preserve"> </t>
    </r>
  </si>
  <si>
    <t xml:space="preserve">Ground Station,  Antenna or Sky Noise Temperature Calculation Tool:  </t>
  </si>
  <si>
    <r>
      <t xml:space="preserve">and a </t>
    </r>
    <r>
      <rPr>
        <i/>
        <sz val="10"/>
        <rFont val="Arial"/>
        <family val="2"/>
      </rPr>
      <t>Ground Station, Antenna or Sky Noise Temperature Calculation Tool</t>
    </r>
    <r>
      <rPr>
        <sz val="10"/>
        <rFont val="Arial"/>
        <family val="2"/>
      </rPr>
      <t xml:space="preserve">.  </t>
    </r>
  </si>
  <si>
    <t>There is one additional and imporatant comment about tools.  Within the Speciality W/Ss, there are some embedded tools.  The best</t>
  </si>
  <si>
    <t>These colors have been found by our staff psychologist to have a relaxing effect on the operator.  Now let's look at the important uses of color:</t>
  </si>
  <si>
    <t xml:space="preserve">     Proceeding Through the Model:</t>
  </si>
  <si>
    <t>Jan, VK4GEY.</t>
  </si>
  <si>
    <t xml:space="preserve">contain the final results of the model.  The Tools W/Ss are located beyond the "System Perfomance Summary" W/S and may be </t>
  </si>
  <si>
    <t>Mission Target Object:</t>
  </si>
  <si>
    <t>Mars</t>
  </si>
  <si>
    <t>Current Range to S/C:</t>
  </si>
  <si>
    <t>AU</t>
  </si>
  <si>
    <t xml:space="preserve">             Current Range to S/C:</t>
  </si>
  <si>
    <t>Deep Space</t>
  </si>
  <si>
    <t xml:space="preserve">Slant Range: </t>
  </si>
  <si>
    <t xml:space="preserve">however, also intended to be a tutorial on the RF portion of a satellite system.  The model makes liberal use of "pop-up" notes and "tools" to enhance the </t>
  </si>
  <si>
    <t xml:space="preserve">understanding (and hopefully the knowledge) of the Link Model Operator (that's you).  After you use the model for awhile, let me know if I have </t>
  </si>
  <si>
    <t xml:space="preserve">   References:</t>
  </si>
  <si>
    <t xml:space="preserve">  The following references were used to prepare this link model:</t>
  </si>
  <si>
    <r>
      <t xml:space="preserve">A.R.R.L., </t>
    </r>
    <r>
      <rPr>
        <i/>
        <sz val="10"/>
        <rFont val="Arial"/>
        <family val="2"/>
      </rPr>
      <t xml:space="preserve">The ARRL Antenna Handbook, </t>
    </r>
    <r>
      <rPr>
        <sz val="10"/>
        <rFont val="Arial"/>
        <family val="2"/>
      </rPr>
      <t>American Radio Relay League, 1974, pp. 153-155.</t>
    </r>
  </si>
  <si>
    <r>
      <t xml:space="preserve">Feher, Dr. Kamilo, </t>
    </r>
    <r>
      <rPr>
        <i/>
        <sz val="10"/>
        <rFont val="Arial"/>
        <family val="2"/>
      </rPr>
      <t>Digital Communications, Satellite/Earth Station Engineering</t>
    </r>
    <r>
      <rPr>
        <sz val="10"/>
        <rFont val="Arial"/>
        <family val="2"/>
      </rPr>
      <t>, Prentice-Hall Books, 1983, Chapter 4.</t>
    </r>
  </si>
  <si>
    <r>
      <t xml:space="preserve">Ippolito, L.J.Jr., </t>
    </r>
    <r>
      <rPr>
        <i/>
        <sz val="10"/>
        <rFont val="Arial"/>
        <family val="2"/>
      </rPr>
      <t xml:space="preserve">Radiowave Propagation in Satellite Communications, </t>
    </r>
    <r>
      <rPr>
        <sz val="10"/>
        <rFont val="Arial"/>
        <family val="2"/>
      </rPr>
      <t>Van Norstrand Reinhold Co., 1986, Chapters 3 and 7.</t>
    </r>
  </si>
  <si>
    <r>
      <t xml:space="preserve">Jordan, E.C. (Edit.), </t>
    </r>
    <r>
      <rPr>
        <i/>
        <sz val="10"/>
        <rFont val="Arial"/>
        <family val="2"/>
      </rPr>
      <t>Reference Data for Engineers:  Radio, Electronics, Computer, and Communications, 7th Edition</t>
    </r>
    <r>
      <rPr>
        <sz val="10"/>
        <rFont val="Arial"/>
        <family val="2"/>
      </rPr>
      <t>, Howard W. Sams &amp; Co.,</t>
    </r>
  </si>
  <si>
    <t>1985, pp. 29-26 - 29-37 and pp. 30-03 - 30-11.</t>
  </si>
  <si>
    <r>
      <t xml:space="preserve">Martin, W.L., </t>
    </r>
    <r>
      <rPr>
        <i/>
        <sz val="10"/>
        <rFont val="Arial"/>
        <family val="2"/>
      </rPr>
      <t xml:space="preserve">AMMOS and DSN Support of Earth Orbiting and Deep Space Missions, </t>
    </r>
    <r>
      <rPr>
        <sz val="10"/>
        <rFont val="Arial"/>
        <family val="2"/>
      </rPr>
      <t>Jet Propulsion Laboratory, TMOD Directorate, 1996, p.44-46.</t>
    </r>
  </si>
  <si>
    <r>
      <t xml:space="preserve">Morgan, W.L. and Gordon, G.D., </t>
    </r>
    <r>
      <rPr>
        <i/>
        <sz val="10"/>
        <rFont val="Arial"/>
        <family val="2"/>
      </rPr>
      <t>Principles of Communicaitons Satellites</t>
    </r>
    <r>
      <rPr>
        <sz val="10"/>
        <rFont val="Arial"/>
        <family val="2"/>
      </rPr>
      <t>, John Wiley &amp; Sons, Inc., 1993, Chapter 2 and pp.140-143.</t>
    </r>
  </si>
  <si>
    <r>
      <t xml:space="preserve">Van Wie, D.G. and Roark, R.C., </t>
    </r>
    <r>
      <rPr>
        <i/>
        <sz val="10"/>
        <rFont val="Arial"/>
        <family val="2"/>
      </rPr>
      <t xml:space="preserve">A New Alert Protocol, </t>
    </r>
    <r>
      <rPr>
        <sz val="10"/>
        <rFont val="Arial"/>
        <family val="2"/>
      </rPr>
      <t>Blue Water Design, LLC</t>
    </r>
    <r>
      <rPr>
        <i/>
        <sz val="10"/>
        <rFont val="Arial"/>
        <family val="2"/>
      </rPr>
      <t xml:space="preserve">, 2003, </t>
    </r>
    <r>
      <rPr>
        <sz val="10"/>
        <rFont val="Arial"/>
        <family val="2"/>
      </rPr>
      <t>pp. 18-23.</t>
    </r>
  </si>
  <si>
    <t xml:space="preserve">    Revisions:</t>
  </si>
  <si>
    <t xml:space="preserve">  The following formal revisons have been made to this Link Model System:</t>
  </si>
  <si>
    <t>Version:</t>
  </si>
  <si>
    <t>Date:</t>
  </si>
  <si>
    <r>
      <t>NEW</t>
    </r>
    <r>
      <rPr>
        <sz val="10"/>
        <rFont val="Arial"/>
        <family val="2"/>
      </rPr>
      <t xml:space="preserve">; </t>
    </r>
    <r>
      <rPr>
        <sz val="10"/>
        <rFont val="Symbol"/>
        <family val="1"/>
        <charset val="2"/>
      </rPr>
      <t>b</t>
    </r>
    <r>
      <rPr>
        <sz val="10"/>
        <rFont val="Arial"/>
        <family val="2"/>
      </rPr>
      <t>-Test Version</t>
    </r>
  </si>
  <si>
    <t>Enter Name of Communications Engineer:</t>
  </si>
  <si>
    <t>Orbit Type:</t>
  </si>
  <si>
    <t>Model/Case No./Rev No.:</t>
  </si>
  <si>
    <t>Date Data Last Modified:</t>
  </si>
  <si>
    <t xml:space="preserve"> </t>
  </si>
  <si>
    <t>Parameter:</t>
  </si>
  <si>
    <t>Value:</t>
  </si>
  <si>
    <t>Unit:</t>
  </si>
  <si>
    <t>Earth Radius:</t>
  </si>
  <si>
    <t>km</t>
  </si>
  <si>
    <t>Semi-Major Axis (a):</t>
  </si>
  <si>
    <t xml:space="preserve">Eccentricity (e): </t>
  </si>
  <si>
    <t>Inclination (I):</t>
  </si>
  <si>
    <t>degrees</t>
  </si>
  <si>
    <r>
      <t>Argument of Perigee (</t>
    </r>
    <r>
      <rPr>
        <sz val="10"/>
        <rFont val="Symbol"/>
        <family val="1"/>
        <charset val="2"/>
      </rPr>
      <t>w):</t>
    </r>
  </si>
  <si>
    <r>
      <t>R.A.A.N. (</t>
    </r>
    <r>
      <rPr>
        <sz val="10"/>
        <rFont val="Symbol"/>
        <family val="1"/>
        <charset val="2"/>
      </rPr>
      <t>W):</t>
    </r>
  </si>
  <si>
    <t>Mean Anomaly (M):</t>
  </si>
  <si>
    <t>Period:</t>
  </si>
  <si>
    <t>minutes</t>
  </si>
  <si>
    <r>
      <t>d</t>
    </r>
    <r>
      <rPr>
        <sz val="10"/>
        <rFont val="Symbol"/>
        <family val="1"/>
        <charset val="2"/>
      </rPr>
      <t>w/</t>
    </r>
    <r>
      <rPr>
        <sz val="10"/>
        <rFont val="Arial"/>
        <family val="2"/>
      </rPr>
      <t>dt:</t>
    </r>
  </si>
  <si>
    <t>deg./day</t>
  </si>
  <si>
    <r>
      <t>d</t>
    </r>
    <r>
      <rPr>
        <sz val="10"/>
        <rFont val="Symbol"/>
        <family val="1"/>
        <charset val="2"/>
      </rPr>
      <t>W</t>
    </r>
    <r>
      <rPr>
        <sz val="10"/>
        <rFont val="Arial"/>
        <family val="2"/>
      </rPr>
      <t>/dt:</t>
    </r>
  </si>
  <si>
    <t>X</t>
  </si>
  <si>
    <t>Y</t>
  </si>
  <si>
    <t>R</t>
  </si>
  <si>
    <t>X1</t>
  </si>
  <si>
    <t>Y1</t>
  </si>
  <si>
    <t>R1</t>
  </si>
  <si>
    <t>Height of Apogee (ha):</t>
  </si>
  <si>
    <t>Height of Perigee (hp):</t>
  </si>
  <si>
    <t>Blue</t>
  </si>
  <si>
    <t>= User Data Entry Values</t>
  </si>
  <si>
    <t>Red</t>
  </si>
  <si>
    <t>= Key Results</t>
  </si>
  <si>
    <t>Black</t>
  </si>
  <si>
    <t>Mean Orbit Altitude:</t>
  </si>
  <si>
    <r>
      <t>Elevation Angle (</t>
    </r>
    <r>
      <rPr>
        <b/>
        <sz val="10"/>
        <rFont val="Symbol"/>
        <family val="1"/>
        <charset val="2"/>
      </rPr>
      <t>d</t>
    </r>
    <r>
      <rPr>
        <sz val="10"/>
        <rFont val="Symbol"/>
        <family val="1"/>
        <charset val="2"/>
      </rPr>
      <t>):</t>
    </r>
  </si>
  <si>
    <t>2.3.2</t>
  </si>
  <si>
    <t xml:space="preserve">Modified Equation at Q62 of "Antenna Gain" W/S.  Equation was "=21/(F55/1000)*H62" and now is "=21/((F55/1000)*H62)." TNX Ignacio Mas. </t>
  </si>
  <si>
    <t xml:space="preserve">      Slant Range to Spacecraft vs. Elevation Angle</t>
  </si>
  <si>
    <t>km.</t>
  </si>
  <si>
    <t>Mean Orbit Radius:</t>
  </si>
  <si>
    <t>Frequency:</t>
  </si>
  <si>
    <t>MHz</t>
  </si>
  <si>
    <t>meters</t>
  </si>
  <si>
    <t>Path Loss:</t>
  </si>
  <si>
    <t>dB</t>
  </si>
  <si>
    <t>Uplink:</t>
  </si>
  <si>
    <t>Downlink:</t>
  </si>
  <si>
    <r>
      <t>Path Loss = 22.0 + 20 log (S/</t>
    </r>
    <r>
      <rPr>
        <b/>
        <sz val="10"/>
        <rFont val="Symbol"/>
        <family val="1"/>
        <charset val="2"/>
      </rPr>
      <t>l)</t>
    </r>
  </si>
  <si>
    <t>Sun Synchronous Inclination:</t>
  </si>
  <si>
    <t>Downlink Telemetry Budget:</t>
  </si>
  <si>
    <t>Units:</t>
  </si>
  <si>
    <t>Comments:</t>
  </si>
  <si>
    <t>Spacecraft:</t>
  </si>
  <si>
    <t>Antenna Gain:</t>
  </si>
  <si>
    <t>Spacecraft EIRP:</t>
  </si>
  <si>
    <t>Downlink Path:</t>
  </si>
  <si>
    <t>Atmospheric Losses:</t>
  </si>
  <si>
    <t>Ionospheric Losses:</t>
  </si>
  <si>
    <t>Rain Losses:</t>
  </si>
  <si>
    <t>Isotropic Signal Level at Ground Station:</t>
  </si>
  <si>
    <t>Ground Station:</t>
  </si>
  <si>
    <t>Ground Station Antenna Gain:</t>
  </si>
  <si>
    <t>Ground Station Effective Noise Temperature:</t>
  </si>
  <si>
    <t>Ground Station Figure of Merrit (G/T):</t>
  </si>
  <si>
    <t>G.S. Signal-to-Noise Power Density (S/No):</t>
  </si>
  <si>
    <t>System Desired Data Rate:</t>
  </si>
  <si>
    <t>Telemetry System Required Eb/No:</t>
  </si>
  <si>
    <t>System Link Margin:</t>
  </si>
  <si>
    <t>watts</t>
  </si>
  <si>
    <t>dBW</t>
  </si>
  <si>
    <t>dBm</t>
  </si>
  <si>
    <t>dBiC</t>
  </si>
  <si>
    <t>K</t>
  </si>
  <si>
    <t>dB/K</t>
  </si>
  <si>
    <t>In dBW:</t>
  </si>
  <si>
    <t>In dBm:</t>
  </si>
  <si>
    <t>Boltzman's Constant:</t>
  </si>
  <si>
    <t>dBW/K/Hz</t>
  </si>
  <si>
    <t>dBHz</t>
  </si>
  <si>
    <t>bps</t>
  </si>
  <si>
    <t>In dBHz:</t>
  </si>
  <si>
    <t>Ground Station Antenna Pointing Loss:</t>
  </si>
  <si>
    <t>Ground Station Alternative Signal Analysis Method (SNR Computation):</t>
  </si>
  <si>
    <t>Signal Power at Ground Station LNA Input:</t>
  </si>
  <si>
    <t>Hz</t>
  </si>
  <si>
    <t>G.S. Receiver Noise Power (Pn = kTB)</t>
  </si>
  <si>
    <t>Signal-to-Noise Power Ratio at G.S. Rcvr:</t>
  </si>
  <si>
    <t>Spacecraft Effective Isotropic Radiated Power (EIRP) [EIRP=Pt x Ltl x Ga]</t>
  </si>
  <si>
    <t>Uplink Command Budget:</t>
  </si>
  <si>
    <t>Uplink Path:</t>
  </si>
  <si>
    <t>Ground Station Effective Isotropic Radiated Power (EIRP) [EIRP=Pt x Ltl x Ga]</t>
  </si>
  <si>
    <t>Ground Station EIRP:</t>
  </si>
  <si>
    <t>Spacecraft Antenna Pointing Loss:</t>
  </si>
  <si>
    <t>Rain Loss:</t>
  </si>
  <si>
    <r>
      <t xml:space="preserve">Deloraine, E.M., Westman, H.P., Edie, L.C. </t>
    </r>
    <r>
      <rPr>
        <i/>
        <sz val="10"/>
        <rFont val="Arial"/>
        <family val="2"/>
      </rPr>
      <t>Reference Data for Radio Engineers, 3rd Edition</t>
    </r>
    <r>
      <rPr>
        <sz val="10"/>
        <rFont val="Arial"/>
        <family val="2"/>
      </rPr>
      <t>, Federal Telephone &amp; Radio Corp., 1949, pp. 362-396.</t>
    </r>
  </si>
  <si>
    <t>cable has a solid copper outer conductor (tube).  Some versions are silver plated.  This version has an exterior diameter of .086"</t>
  </si>
  <si>
    <t>cable has a solid copper outer conductor (tube).  Some versions are silver plated.  This version has an exterior diameter of 0.141"</t>
  </si>
  <si>
    <t>+</t>
  </si>
  <si>
    <t>Atmospheric Loss:</t>
  </si>
  <si>
    <t>Ionospheric Loss:</t>
  </si>
  <si>
    <t>Spacecraft Antenna Gain:</t>
  </si>
  <si>
    <t>Spacecraft Effective Noise Temperature:</t>
  </si>
  <si>
    <t>Spacecraft Figure of Merrit (G/T):</t>
  </si>
  <si>
    <t>S/C Signal-to-Noise Power Density (S/No):</t>
  </si>
  <si>
    <t>Spacecraft Alternative Signal Analysis Method (SNR Computation):</t>
  </si>
  <si>
    <t>Signal Power at Spacecraft LNA Input:</t>
  </si>
  <si>
    <t>dM/dt:</t>
  </si>
  <si>
    <t xml:space="preserve"> Blue</t>
  </si>
  <si>
    <t>S/C Slot Longitude:</t>
  </si>
  <si>
    <t>Same as User #1 as both Users Employ the Same Spacecraft</t>
  </si>
  <si>
    <r>
      <t>NOTE:</t>
    </r>
    <r>
      <rPr>
        <sz val="10"/>
        <rFont val="Arial"/>
        <family val="2"/>
      </rPr>
      <t xml:space="preserve">  Cells Not Yet Protected</t>
    </r>
  </si>
  <si>
    <t>Spacecraft Transmitter Power Output:</t>
  </si>
  <si>
    <t>=Critical User Data Entry Values</t>
  </si>
  <si>
    <t>Element Reference Epoch:</t>
  </si>
  <si>
    <t>Com. System Engineer:</t>
  </si>
  <si>
    <t>Investigation:</t>
  </si>
  <si>
    <t xml:space="preserve">Model Under </t>
  </si>
  <si>
    <t>Last Modified:</t>
  </si>
  <si>
    <t>Project:</t>
  </si>
  <si>
    <r>
      <t>= Computed Values (</t>
    </r>
    <r>
      <rPr>
        <b/>
        <sz val="10"/>
        <rFont val="Arial"/>
        <family val="2"/>
      </rPr>
      <t>No</t>
    </r>
    <r>
      <rPr>
        <sz val="10"/>
        <rFont val="Arial"/>
        <family val="2"/>
      </rPr>
      <t xml:space="preserve"> </t>
    </r>
    <r>
      <rPr>
        <b/>
        <sz val="10"/>
        <rFont val="Arial"/>
        <family val="2"/>
      </rPr>
      <t>Data Entry</t>
    </r>
    <r>
      <rPr>
        <sz val="10"/>
        <rFont val="Arial"/>
        <family val="2"/>
      </rPr>
      <t>)</t>
    </r>
  </si>
  <si>
    <t xml:space="preserve">                                          ------- Eb/No Method -------</t>
  </si>
  <si>
    <r>
      <t xml:space="preserve">                               </t>
    </r>
    <r>
      <rPr>
        <b/>
        <i/>
        <sz val="10"/>
        <color indexed="10"/>
        <rFont val="Arial"/>
        <family val="2"/>
      </rPr>
      <t xml:space="preserve"> ---------- SNR Method ------------</t>
    </r>
  </si>
  <si>
    <t>Not Implemented</t>
  </si>
  <si>
    <t xml:space="preserve">Date W/S Formulas </t>
  </si>
  <si>
    <r>
      <t>Slant Range (</t>
    </r>
    <r>
      <rPr>
        <b/>
        <sz val="10"/>
        <rFont val="Arial"/>
        <family val="2"/>
      </rPr>
      <t>S</t>
    </r>
    <r>
      <rPr>
        <sz val="10"/>
        <rFont val="Arial"/>
        <family val="2"/>
      </rPr>
      <t>):</t>
    </r>
  </si>
  <si>
    <r>
      <t>Wavelength (</t>
    </r>
    <r>
      <rPr>
        <b/>
        <u/>
        <sz val="10"/>
        <rFont val="Symbol"/>
        <family val="1"/>
        <charset val="2"/>
      </rPr>
      <t>l</t>
    </r>
    <r>
      <rPr>
        <u/>
        <sz val="10"/>
        <rFont val="Arial"/>
        <family val="2"/>
      </rPr>
      <t>):</t>
    </r>
  </si>
  <si>
    <t>Modulation Type:</t>
  </si>
  <si>
    <t>Option:</t>
  </si>
  <si>
    <t>Coding:</t>
  </si>
  <si>
    <t>Bit Error Rate Spec:</t>
  </si>
  <si>
    <t>Required Eb/No (dB):</t>
  </si>
  <si>
    <t>AFSK/FM</t>
  </si>
  <si>
    <t>None</t>
  </si>
  <si>
    <t>G3RUH FSK</t>
  </si>
  <si>
    <t>Non-Coherent FSK</t>
  </si>
  <si>
    <t>Coherent FSK</t>
  </si>
  <si>
    <t>BPSK</t>
  </si>
  <si>
    <t>QPSK</t>
  </si>
  <si>
    <t>GMSK</t>
  </si>
  <si>
    <t>Convolutional R=1/2, K=7</t>
  </si>
  <si>
    <t>Conv. R=1/2,K=7 &amp; R.S. (255,223)</t>
  </si>
  <si>
    <t>Conv. R=1/6,K=15 &amp; R.S. (255,223)</t>
  </si>
  <si>
    <t>User Defined</t>
  </si>
  <si>
    <t>Modulation, Coding &amp; BER Option:</t>
  </si>
  <si>
    <t>Implementation Loss Estimate:</t>
  </si>
  <si>
    <t>Select Here:</t>
  </si>
  <si>
    <t>Choice Made:</t>
  </si>
  <si>
    <t>[dB]</t>
  </si>
  <si>
    <t>[   ]</t>
  </si>
  <si>
    <t>[degrees]</t>
  </si>
  <si>
    <t>[Radians]</t>
  </si>
  <si>
    <t>Polarization Loss =</t>
  </si>
  <si>
    <t xml:space="preserve">Polarization Loss = </t>
  </si>
  <si>
    <t>Dish Boresight Aligned with +Z Axis</t>
  </si>
  <si>
    <t>[For S/C Hi Gain Option]</t>
  </si>
  <si>
    <t>[Isotropic Radiator]</t>
  </si>
  <si>
    <t>patch antenna</t>
  </si>
  <si>
    <t>parabolic reflector</t>
  </si>
  <si>
    <t>user defined</t>
  </si>
  <si>
    <t>Operator Selects Option 1 to 7 Here</t>
  </si>
  <si>
    <t>This value is transferred from "Antenna Pointing Losses" W/S, Cell [K63]</t>
  </si>
  <si>
    <t xml:space="preserve">         Elliptical</t>
  </si>
  <si>
    <t xml:space="preserve">           Linear</t>
  </si>
  <si>
    <t>Transmit Antenna</t>
  </si>
  <si>
    <t>Orbit Type Selected:</t>
  </si>
  <si>
    <r>
      <t>EARTH ANGULAR DIAMETER (</t>
    </r>
    <r>
      <rPr>
        <sz val="9"/>
        <rFont val="Symbol"/>
        <family val="1"/>
        <charset val="2"/>
      </rPr>
      <t>g</t>
    </r>
    <r>
      <rPr>
        <sz val="9"/>
        <rFont val="Arial"/>
        <family val="2"/>
      </rPr>
      <t>):</t>
    </r>
  </si>
  <si>
    <r>
      <t>S/C POINTING VECTOR (</t>
    </r>
    <r>
      <rPr>
        <sz val="10"/>
        <rFont val="Symbol"/>
        <family val="1"/>
        <charset val="2"/>
      </rPr>
      <t>a</t>
    </r>
    <r>
      <rPr>
        <sz val="10"/>
        <rFont val="Arial"/>
        <family val="2"/>
      </rPr>
      <t>):</t>
    </r>
  </si>
  <si>
    <t>S/C RCVR Eb/No</t>
  </si>
  <si>
    <t>Receive Antenna</t>
  </si>
  <si>
    <r>
      <t xml:space="preserve">    Axial Ratio = </t>
    </r>
    <r>
      <rPr>
        <sz val="14"/>
        <rFont val="Arial"/>
        <family val="2"/>
      </rPr>
      <t>∞</t>
    </r>
  </si>
  <si>
    <r>
      <t xml:space="preserve">      Axial Ratio = </t>
    </r>
    <r>
      <rPr>
        <sz val="14"/>
        <rFont val="Arial"/>
        <family val="2"/>
      </rPr>
      <t>∞</t>
    </r>
  </si>
  <si>
    <t xml:space="preserve">         Circular</t>
  </si>
  <si>
    <t>Power Emitted (or Received) with Antenna Aligned with Major Axis</t>
  </si>
  <si>
    <t>Power Emitted (or Received) with Antenna Aligned with Minor Axis</t>
  </si>
  <si>
    <t xml:space="preserve">         Axial Ratio  ≡ 10*LOG  </t>
  </si>
  <si>
    <t>Cross Pol. Power Fraction =</t>
  </si>
  <si>
    <t xml:space="preserve">Cross Polarization Isolation = </t>
  </si>
  <si>
    <t>A.R. #1:</t>
  </si>
  <si>
    <t>A.R. #2:</t>
  </si>
  <si>
    <t>Pol. Loss</t>
  </si>
  <si>
    <t>(dB)</t>
  </si>
  <si>
    <t>(degrees)</t>
  </si>
  <si>
    <t>Polarization Loss Equation:</t>
  </si>
  <si>
    <t xml:space="preserve">  </t>
  </si>
  <si>
    <t>Axial ratio (Ant. #1) =</t>
  </si>
  <si>
    <t>Axial ratio of Rx Antenna (Ant. #2) in dB =</t>
  </si>
  <si>
    <t>Axial ratio (Ant. #2) =</t>
  </si>
  <si>
    <t>Co-Polarization Loss:</t>
  </si>
  <si>
    <t xml:space="preserve">         Polarization Loss Calculation:</t>
  </si>
  <si>
    <t>Right Hand or Left Hand</t>
  </si>
  <si>
    <t>Vertical or Horizontal</t>
  </si>
  <si>
    <t xml:space="preserve">          Polarization Angle (θ) ≡</t>
  </si>
  <si>
    <t xml:space="preserve">    Angle between transmit and receive</t>
  </si>
  <si>
    <t>Cross Polarization Coupling/Isolation:</t>
  </si>
  <si>
    <t>Example Calculations:</t>
  </si>
  <si>
    <t>Tx Ant.</t>
  </si>
  <si>
    <t>Rx Ant.</t>
  </si>
  <si>
    <t>θ</t>
  </si>
  <si>
    <t>Tx &amp; Rx Elliptical:</t>
  </si>
  <si>
    <t>represented by an Axial Ratio value of 30 dB.</t>
  </si>
  <si>
    <t xml:space="preserve">NOTE:  A linearly polarized antenna may be </t>
  </si>
  <si>
    <t>Tx &amp; Rx Linear:</t>
  </si>
  <si>
    <t>Rx Variable:</t>
  </si>
  <si>
    <t>Tx Circular,</t>
  </si>
  <si>
    <t>Tx Elliptical,</t>
  </si>
  <si>
    <t>Rx Linear</t>
  </si>
  <si>
    <t>NOTE:  This is a typical small satellite case.</t>
  </si>
  <si>
    <t>2.5.1</t>
  </si>
  <si>
    <t>2.5.2</t>
  </si>
  <si>
    <t>Repaird Bugs in User #2, Delta Longitude, Range, Azimuth and Earth Central Angle; Thank to Michelle Denise, W5NYV</t>
  </si>
  <si>
    <t>Repaired Import of Frequency Values to "Transmitters" and "Receivers" Worksheets; Thanks to Michelle Denise, W5NYV</t>
  </si>
  <si>
    <r>
      <t>Developed by:  Jan A. King, W3GEY/VK4GEY         With Editorial Assistance and Support from Ralph Wallio, W</t>
    </r>
    <r>
      <rPr>
        <b/>
        <sz val="10"/>
        <rFont val="Arial"/>
        <family val="2"/>
      </rPr>
      <t>Ф</t>
    </r>
    <r>
      <rPr>
        <b/>
        <sz val="10"/>
        <rFont val="Arial"/>
        <family val="2"/>
      </rPr>
      <t>RPK; Ignacio Mas; Lou McFadin, W5DID; Jeff Capehart, W4UFL; Michelle Denise, W5NYV</t>
    </r>
  </si>
  <si>
    <t xml:space="preserve"> Version: 2.5.3</t>
  </si>
  <si>
    <t>2.5.3</t>
  </si>
  <si>
    <t>In "Atmos. &amp; Ionos. Losses" W/S; temporarily made Atmos. Loss dependent on Manually Set Elevation Angle.  This needs more work.</t>
  </si>
  <si>
    <t xml:space="preserve">                        major axes.</t>
  </si>
  <si>
    <t>Atmospheric and Ionospheric Losses:</t>
  </si>
  <si>
    <t>Elevation Angle:</t>
  </si>
  <si>
    <t>Loss:</t>
  </si>
  <si>
    <t>°</t>
  </si>
  <si>
    <t xml:space="preserve">Losses due to atmospheric gases (Nitrogen, Oxygen, Carbon Dioxide, Hydrogen, etc.) </t>
  </si>
  <si>
    <t>are nearly independent of atmospheric temperature, mean density and relative humidity</t>
  </si>
  <si>
    <t>distributed along the path between the spacecraft and the ground station.  This, in turn,</t>
  </si>
  <si>
    <t xml:space="preserve">means that the losses from or to the satellite are elevation angle dependent.  </t>
  </si>
  <si>
    <t>The table to the left is a look-up table.  The minimum elevation angle selected in the</t>
  </si>
  <si>
    <t>Loss due to Atmospheric Gases:</t>
  </si>
  <si>
    <t>Min. Elev. Angle:</t>
  </si>
  <si>
    <t>deg.</t>
  </si>
  <si>
    <t>Loss Determined:</t>
  </si>
  <si>
    <t xml:space="preserve"> Downlink</t>
  </si>
  <si>
    <t xml:space="preserve">Changed "Downlink" to "Uplink" at D22 in "Antenna Gain" W/S. Changed hard coded cells in "Ant. Pointing Losses" W/S for referenced cells. Fixed errors in downlink portion of worksheet.  There were several incorrect references.  Added NOTEs at Line 57 of the "Uplink" W/S and Line 56 of the "Downlink W/S" to remind user about S/N when using coding.  TNX Jeff Capehart W4DFU.  </t>
  </si>
  <si>
    <t>One additional interpolated value is added at 2.5° elevation angle.  This was not taken</t>
  </si>
  <si>
    <t>from Ippolito's text.</t>
  </si>
  <si>
    <t>Loss due to Ionosphere:</t>
  </si>
  <si>
    <t>Louis J. Ippolito, Jr., Van Nostrand-Reinhold, 1986, pp. 33-34, Tables 3-3a-c.</t>
  </si>
  <si>
    <t xml:space="preserve">far less by this layer of ionized particles than at frequencies in the HF, MF and LF portions of the </t>
  </si>
  <si>
    <t xml:space="preserve">radio spectrum.  While there is certainly some correlation between the elevation angle to a </t>
  </si>
  <si>
    <t>Terrestrial Noise Component:</t>
  </si>
  <si>
    <t>Estimated or Measured Noise Level:</t>
  </si>
  <si>
    <t>Belden 9913</t>
  </si>
  <si>
    <t xml:space="preserve">satellite and the signal absorption or scintillation experienced, this dependency is nearly masked </t>
  </si>
  <si>
    <t xml:space="preserve">out by the time variability of effects.  </t>
  </si>
  <si>
    <t xml:space="preserve">especially at low elevation angles.  The ionosphere certainly limits the lowest frequency at which </t>
  </si>
  <si>
    <r>
      <t>fully absorbed or reflected by the layers of the ionosphere (D, E, F</t>
    </r>
    <r>
      <rPr>
        <sz val="8"/>
        <rFont val="Arial"/>
        <family val="2"/>
      </rPr>
      <t>1</t>
    </r>
    <r>
      <rPr>
        <sz val="10"/>
        <rFont val="Arial"/>
        <family val="2"/>
      </rPr>
      <t xml:space="preserve"> and F</t>
    </r>
    <r>
      <rPr>
        <sz val="8"/>
        <rFont val="Arial"/>
        <family val="2"/>
      </rPr>
      <t>2</t>
    </r>
    <r>
      <rPr>
        <sz val="10"/>
        <rFont val="Arial"/>
        <family val="2"/>
      </rPr>
      <t xml:space="preserve">).  </t>
    </r>
  </si>
  <si>
    <t>User #2:</t>
  </si>
  <si>
    <t>GEO Azimuth Calculation:</t>
  </si>
  <si>
    <r>
      <t>Deep Space Mission - Option #4:</t>
    </r>
    <r>
      <rPr>
        <b/>
        <sz val="12"/>
        <rFont val="Arial"/>
        <family val="2"/>
      </rPr>
      <t xml:space="preserve">  </t>
    </r>
    <r>
      <rPr>
        <b/>
        <sz val="12"/>
        <color indexed="12"/>
        <rFont val="Arial"/>
        <family val="2"/>
      </rPr>
      <t>Range Expressed in Astronomical Units (AU)</t>
    </r>
  </si>
  <si>
    <t>statistics of these loss parameters would be interesting to review, however, this effort is more</t>
  </si>
  <si>
    <t xml:space="preserve">It is proposed that these values can be conservatively used in satellite link analyses.  The higher order </t>
  </si>
  <si>
    <t>than is necessary for the development of an effective link budget.</t>
  </si>
  <si>
    <t xml:space="preserve">at frequencies below 2 GHz.  Atmospheric absorption depends strongly upon the total number of molecules </t>
  </si>
  <si>
    <r>
      <t>The data used here  is taken from "</t>
    </r>
    <r>
      <rPr>
        <i/>
        <sz val="10"/>
        <rFont val="Arial"/>
        <family val="2"/>
      </rPr>
      <t>Radiowave Propagation in Satellite Communications</t>
    </r>
    <r>
      <rPr>
        <sz val="10"/>
        <rFont val="Arial"/>
        <family val="2"/>
      </rPr>
      <t>" by</t>
    </r>
  </si>
  <si>
    <t>dBi</t>
  </si>
  <si>
    <t>%</t>
  </si>
  <si>
    <t>J. A. King</t>
  </si>
  <si>
    <t>GHz</t>
  </si>
  <si>
    <t>Peak Gain:</t>
  </si>
  <si>
    <t>Antenna Dia.:</t>
  </si>
  <si>
    <t>Meters</t>
  </si>
  <si>
    <t>Main Lobe</t>
  </si>
  <si>
    <t>First Null</t>
  </si>
  <si>
    <t>First Sidelobe</t>
  </si>
  <si>
    <t>2nd Null</t>
  </si>
  <si>
    <t>2nd Sidelobe</t>
  </si>
  <si>
    <t>3rd Null</t>
  </si>
  <si>
    <t>3rd Sidelobe</t>
  </si>
  <si>
    <t>4th Null</t>
  </si>
  <si>
    <t>4th Sidelobe</t>
  </si>
  <si>
    <t>Aperture Efficiency:</t>
  </si>
  <si>
    <t>(Half Power B.W.)/2</t>
  </si>
  <si>
    <r>
      <t xml:space="preserve">                     </t>
    </r>
    <r>
      <rPr>
        <b/>
        <sz val="14"/>
        <color indexed="10"/>
        <rFont val="Arial"/>
        <family val="2"/>
      </rPr>
      <t xml:space="preserve"> Antenna Beam Roll-Off Tool </t>
    </r>
  </si>
  <si>
    <r>
      <t>Pwr (</t>
    </r>
    <r>
      <rPr>
        <b/>
        <sz val="10"/>
        <rFont val="Symbol"/>
        <family val="1"/>
        <charset val="2"/>
      </rPr>
      <t>q)</t>
    </r>
    <r>
      <rPr>
        <b/>
        <sz val="10"/>
        <rFont val="Arial"/>
        <family val="2"/>
      </rPr>
      <t xml:space="preserve"> w.r.t. Peak Gain:</t>
    </r>
  </si>
  <si>
    <r>
      <t xml:space="preserve">q </t>
    </r>
    <r>
      <rPr>
        <b/>
        <sz val="10"/>
        <rFont val="Arial"/>
        <family val="2"/>
      </rPr>
      <t>(degrees):</t>
    </r>
  </si>
  <si>
    <t>Uplink Antenna System:</t>
  </si>
  <si>
    <t>Diameter:</t>
  </si>
  <si>
    <t>Gain:</t>
  </si>
  <si>
    <t>Polarization:</t>
  </si>
  <si>
    <t>Beamwidth:</t>
  </si>
  <si>
    <t>RHCP</t>
  </si>
  <si>
    <t>dBiL</t>
  </si>
  <si>
    <r>
      <t>Circumference (</t>
    </r>
    <r>
      <rPr>
        <sz val="10"/>
        <rFont val="Symbol"/>
        <charset val="2"/>
      </rPr>
      <t>l</t>
    </r>
    <r>
      <rPr>
        <sz val="10"/>
        <rFont val="Arial"/>
        <family val="2"/>
      </rPr>
      <t>):</t>
    </r>
  </si>
  <si>
    <t>Turns (n):</t>
  </si>
  <si>
    <r>
      <t>Turn Spacing (</t>
    </r>
    <r>
      <rPr>
        <sz val="10"/>
        <rFont val="Symbol"/>
        <charset val="2"/>
      </rPr>
      <t>l</t>
    </r>
    <r>
      <rPr>
        <sz val="10"/>
        <rFont val="Arial"/>
        <family val="2"/>
      </rPr>
      <t>):</t>
    </r>
  </si>
  <si>
    <r>
      <t>Loop (</t>
    </r>
    <r>
      <rPr>
        <sz val="10"/>
        <rFont val="Symbol"/>
        <charset val="2"/>
      </rPr>
      <t>l</t>
    </r>
    <r>
      <rPr>
        <sz val="10"/>
        <rFont val="Arial"/>
        <family val="2"/>
      </rPr>
      <t>):</t>
    </r>
  </si>
  <si>
    <t xml:space="preserve">    1/2</t>
  </si>
  <si>
    <t>No Radiation in Back Hemisphere</t>
  </si>
  <si>
    <t>Null On Axis; Both Poles</t>
  </si>
  <si>
    <t>Circular Pol. On Axis; RHCP one pole, LHCP Opposite Pole, Linear in Equatorial Plane</t>
  </si>
  <si>
    <t>(typical)</t>
  </si>
  <si>
    <r>
      <t>Boom Length (</t>
    </r>
    <r>
      <rPr>
        <sz val="10"/>
        <rFont val="Symbol"/>
        <charset val="2"/>
      </rPr>
      <t>l</t>
    </r>
    <r>
      <rPr>
        <sz val="10"/>
        <rFont val="Arial"/>
        <family val="2"/>
      </rPr>
      <t xml:space="preserve">): </t>
    </r>
  </si>
  <si>
    <t>per Plane</t>
  </si>
  <si>
    <t>Optimum Elements (n):</t>
  </si>
  <si>
    <t>Maximum Gain:</t>
  </si>
  <si>
    <t>KLM (22x22 Element)</t>
  </si>
  <si>
    <t>Yagi</t>
  </si>
  <si>
    <t>Added EZNEC+ and Chart Wizzard Antenna Plots to "Antenna Pattern" W/S.</t>
  </si>
  <si>
    <t>Optimum Yagi Antenna Performance:</t>
  </si>
  <si>
    <t>Boom</t>
  </si>
  <si>
    <r>
      <t>Length (</t>
    </r>
    <r>
      <rPr>
        <sz val="10"/>
        <rFont val="Symbol"/>
        <charset val="2"/>
      </rPr>
      <t>l</t>
    </r>
    <r>
      <rPr>
        <sz val="10"/>
        <rFont val="Arial"/>
        <family val="2"/>
      </rPr>
      <t>):</t>
    </r>
  </si>
  <si>
    <t>Optimum</t>
  </si>
  <si>
    <t>No. Elements (n):</t>
  </si>
  <si>
    <t>Maximum</t>
  </si>
  <si>
    <t>Gain (dBi):</t>
  </si>
  <si>
    <t>(in V and in H)</t>
  </si>
  <si>
    <t>Wavelength:</t>
  </si>
  <si>
    <t>No Radiation in Back Hemisphere &amp; Null on Axis ("Tip Null")</t>
  </si>
  <si>
    <t xml:space="preserve">      Antenna Length:</t>
  </si>
  <si>
    <t>Path Loss for Orbit Selected:</t>
  </si>
  <si>
    <t>Helix</t>
  </si>
  <si>
    <t>Parabolic Reflector</t>
  </si>
  <si>
    <t xml:space="preserve">User Defined </t>
  </si>
  <si>
    <t>(Example)</t>
  </si>
  <si>
    <t xml:space="preserve">   Ground Station:</t>
  </si>
  <si>
    <t>Monopole</t>
  </si>
  <si>
    <t>Dipole</t>
  </si>
  <si>
    <t>Canted Turnstyle</t>
  </si>
  <si>
    <t>Quadrifilar Helix</t>
  </si>
  <si>
    <t>Other (User Defined)</t>
  </si>
  <si>
    <t xml:space="preserve">     Downlink Antenna System:</t>
  </si>
  <si>
    <t>UPLINK</t>
  </si>
  <si>
    <t>DOWNLINK</t>
  </si>
  <si>
    <t xml:space="preserve">     Spacecraft:</t>
  </si>
  <si>
    <t>Uplink</t>
  </si>
  <si>
    <t>Downlink</t>
  </si>
  <si>
    <t>OPTION:</t>
  </si>
  <si>
    <t>Operator Selects Option 1 to 4 Here</t>
  </si>
  <si>
    <t>Communications Receiver Front End Temperature</t>
  </si>
  <si>
    <t>Operator Selects Option 1 to 5 Here</t>
  </si>
  <si>
    <t>Look-Up Table</t>
  </si>
  <si>
    <t>#1:</t>
  </si>
  <si>
    <t>#2:</t>
  </si>
  <si>
    <t>#3:</t>
  </si>
  <si>
    <t>UPLINK &amp; DOWNLINK Frequency Choices:</t>
  </si>
  <si>
    <t>Downlink Frequency Choice:</t>
  </si>
  <si>
    <t>Uplink Frequency Choice:</t>
  </si>
  <si>
    <t>#4:</t>
  </si>
  <si>
    <t>Operator Selected Option:</t>
  </si>
  <si>
    <t>UPLINK:</t>
  </si>
  <si>
    <r>
      <t xml:space="preserve">           P</t>
    </r>
    <r>
      <rPr>
        <b/>
        <sz val="8"/>
        <rFont val="Arial"/>
        <family val="2"/>
      </rPr>
      <t>L</t>
    </r>
  </si>
  <si>
    <t>=  0.5*(1+((1-r_1^2)*(1-r_2^2)*COS(2*θ)+4*r_1*r_2)/((1+r_1^2)*(1+r_2^2)))</t>
  </si>
  <si>
    <t>DOWNLINK:</t>
  </si>
  <si>
    <t xml:space="preserve">       DOWNLINK:</t>
  </si>
  <si>
    <t>NOTE:     This is also a typical small satellite case.</t>
  </si>
  <si>
    <t xml:space="preserve">  Operator selects uplink antenna characteristics in blue boxes.</t>
  </si>
  <si>
    <t>Result:</t>
  </si>
  <si>
    <t xml:space="preserve">         UPLINK:</t>
  </si>
  <si>
    <t xml:space="preserve">     DOWNLINK:</t>
  </si>
  <si>
    <t>NOTE:  Do not modify or use cells to left of table.</t>
  </si>
  <si>
    <t>Spacecraft</t>
  </si>
  <si>
    <t>Antenna</t>
  </si>
  <si>
    <t>Ground Station</t>
  </si>
  <si>
    <t>Approx. Antenna Pointing Loss:</t>
  </si>
  <si>
    <r>
      <t>Esimated Pointing Error (</t>
    </r>
    <r>
      <rPr>
        <b/>
        <sz val="10"/>
        <rFont val="Arial"/>
        <family val="2"/>
      </rPr>
      <t>θ</t>
    </r>
    <r>
      <rPr>
        <b/>
        <sz val="8"/>
        <rFont val="Arial"/>
        <family val="2"/>
      </rPr>
      <t>1)</t>
    </r>
    <r>
      <rPr>
        <b/>
        <sz val="10"/>
        <rFont val="Arial"/>
        <family val="2"/>
      </rPr>
      <t>:</t>
    </r>
  </si>
  <si>
    <t xml:space="preserve"> °</t>
  </si>
  <si>
    <t>Patch (Example)</t>
  </si>
  <si>
    <t>[Type 1,2,3 or 4]</t>
  </si>
  <si>
    <t xml:space="preserve">      Approx. Antenna</t>
  </si>
  <si>
    <t xml:space="preserve">      Pointing Loss:</t>
  </si>
  <si>
    <t>NOTE:</t>
  </si>
  <si>
    <t>Calculation Formulas</t>
  </si>
  <si>
    <t xml:space="preserve">    Antenna Roll-Off</t>
  </si>
  <si>
    <r>
      <t>and vector from S/C to gnd. station (</t>
    </r>
    <r>
      <rPr>
        <b/>
        <sz val="10"/>
        <rFont val="Arial"/>
        <family val="2"/>
      </rPr>
      <t>θ</t>
    </r>
    <r>
      <rPr>
        <b/>
        <sz val="8"/>
        <rFont val="Arial"/>
        <family val="2"/>
      </rPr>
      <t>2</t>
    </r>
    <r>
      <rPr>
        <b/>
        <sz val="10"/>
        <rFont val="Arial"/>
        <family val="2"/>
      </rPr>
      <t>):</t>
    </r>
  </si>
  <si>
    <r>
      <t xml:space="preserve">No Radiation in Back Hemisphere </t>
    </r>
    <r>
      <rPr>
        <b/>
        <sz val="10"/>
        <rFont val="Arial"/>
        <family val="2"/>
      </rPr>
      <t>AND</t>
    </r>
    <r>
      <rPr>
        <sz val="10"/>
        <rFont val="Arial"/>
        <family val="2"/>
      </rPr>
      <t xml:space="preserve"> Null on Axis ("Tip Null")</t>
    </r>
  </si>
  <si>
    <t>No Radiation in Back Hemisphere; Excellent Axial Ratio Performance Off-Axis</t>
  </si>
  <si>
    <t>2.1.2</t>
  </si>
  <si>
    <t>Modified Data for Monopole Antenna Pattern in Monopole Table in "Antenna Patterns" W/S.  Added 3 dB to all Values (0° to 90°)</t>
  </si>
  <si>
    <t xml:space="preserve">Radio waves passing through the ionosphere at VHF, UHF and Microwave frequencies are influenced  </t>
  </si>
  <si>
    <t>satellite communications is feasible.  Below 20 MHz, during solar maximum space signals are usually</t>
  </si>
  <si>
    <t>Half Power</t>
  </si>
  <si>
    <t>(P/2) Beamwidth:</t>
  </si>
  <si>
    <t>"Design a Dish"</t>
  </si>
  <si>
    <r>
      <t xml:space="preserve">S/C </t>
    </r>
    <r>
      <rPr>
        <sz val="10"/>
        <rFont val="Symbol"/>
        <family val="1"/>
        <charset val="2"/>
      </rPr>
      <t>Ð</t>
    </r>
    <r>
      <rPr>
        <sz val="10"/>
        <rFont val="Arial"/>
        <family val="2"/>
      </rPr>
      <t xml:space="preserve"> wrt Symmetry Axis (</t>
    </r>
    <r>
      <rPr>
        <sz val="10"/>
        <rFont val="Arial"/>
        <family val="2"/>
      </rPr>
      <t>θ)°</t>
    </r>
    <r>
      <rPr>
        <sz val="10"/>
        <rFont val="Arial"/>
        <family val="2"/>
      </rPr>
      <t>:</t>
    </r>
  </si>
  <si>
    <t>LHCP</t>
  </si>
  <si>
    <t>Antenna Gain (dBi):</t>
  </si>
  <si>
    <t>Spacecraft Antennas:</t>
  </si>
  <si>
    <t>Uplink Transmitter System (At Ground Station):</t>
  </si>
  <si>
    <t>Downlink Transmitter System (At Spacecraft):</t>
  </si>
  <si>
    <t>Block Diagram:</t>
  </si>
  <si>
    <t>Transmitter Power:</t>
  </si>
  <si>
    <t>Watts  =</t>
  </si>
  <si>
    <t>RG-178 B/U</t>
  </si>
  <si>
    <t>Add:</t>
  </si>
  <si>
    <t>dBW   =</t>
  </si>
  <si>
    <r>
      <t>=2</t>
    </r>
    <r>
      <rPr>
        <b/>
        <sz val="10"/>
        <rFont val="Symbol"/>
        <family val="1"/>
        <charset val="2"/>
      </rPr>
      <t xml:space="preserve">q </t>
    </r>
    <r>
      <rPr>
        <b/>
        <sz val="10"/>
        <rFont val="Arial"/>
        <family val="2"/>
      </rPr>
      <t>(Beamwidth@ -3dB Roll-Off)</t>
    </r>
  </si>
  <si>
    <t>Cable or Waveguide Loss:</t>
  </si>
  <si>
    <t xml:space="preserve">  A positive gain or directivity is always experssed as a positive number.  Sometimes the value may be seen to have a + in front of it.</t>
  </si>
  <si>
    <t>2.2.1</t>
  </si>
  <si>
    <t xml:space="preserve">Edited Notes in I.I.R.R W/S.  </t>
  </si>
  <si>
    <t>2005, 87.50000</t>
  </si>
  <si>
    <t>If you are using uplink or downlink frequencies above 2 GHz, refer to the referenced text given above</t>
  </si>
  <si>
    <t>to determine the appropriate atmosperic losses.  At millimeter wave frequencies the losses can be much higher.</t>
  </si>
  <si>
    <t>Cable/Guide Type:</t>
  </si>
  <si>
    <t>Filter Insertion Losses:</t>
  </si>
  <si>
    <t>No. of In-Line Connectors:</t>
  </si>
  <si>
    <t>Other In-Line Losses:</t>
  </si>
  <si>
    <t>cable</t>
  </si>
  <si>
    <t>Cable/Guide Loss/meter:</t>
  </si>
  <si>
    <t>At (freq.)</t>
  </si>
  <si>
    <t>MHz =</t>
  </si>
  <si>
    <t>Other Components in Line:</t>
  </si>
  <si>
    <t>Connectors  X  0.05 dB    =</t>
  </si>
  <si>
    <t>Total Line Losses:</t>
  </si>
  <si>
    <t>System Transmitters &amp; Line Losses:</t>
  </si>
  <si>
    <t>Antenna Mismatch Losses:</t>
  </si>
  <si>
    <t>Antenna Mismatch</t>
  </si>
  <si>
    <t>Connectors  X  0.05 dB/Con.    =</t>
  </si>
  <si>
    <t xml:space="preserve">   Line B</t>
  </si>
  <si>
    <t xml:space="preserve">       Line C</t>
  </si>
  <si>
    <t>Line A Length:</t>
  </si>
  <si>
    <t>Line B Length:</t>
  </si>
  <si>
    <t>Line C Length:</t>
  </si>
  <si>
    <t>Directional Coupler</t>
  </si>
  <si>
    <t>Line B</t>
  </si>
  <si>
    <t xml:space="preserve">   Line C</t>
  </si>
  <si>
    <t xml:space="preserve">Line A    </t>
  </si>
  <si>
    <t>Total Line Length (Line A+B+C):</t>
  </si>
  <si>
    <t>Total Line Length (Lines A+B+C):</t>
  </si>
  <si>
    <t>Total Power Delivered to Antenna:</t>
  </si>
  <si>
    <t>Total RF Power Delivered to Antenna:</t>
  </si>
  <si>
    <t>Device:</t>
  </si>
  <si>
    <t>System Receivers and Line Losses:</t>
  </si>
  <si>
    <t>Uplink Receiver System (At Spacecraft):</t>
  </si>
  <si>
    <t xml:space="preserve">Patch </t>
  </si>
  <si>
    <t>Low Radiation in Back Hemisphere; High On-Axis Gain; Can be Maded Linear or Circularly Polarized</t>
  </si>
  <si>
    <t>To Be Used if a High Gain Antenna is Required on S/C.</t>
  </si>
  <si>
    <t>Gain, Beamwidth and Roll-Off Equation To Be Provided By Link Model Operator</t>
  </si>
  <si>
    <t>dBi (C or L)</t>
  </si>
  <si>
    <t>Link Model Operator to Provide</t>
  </si>
  <si>
    <r>
      <t>System Noise Temperature (T</t>
    </r>
    <r>
      <rPr>
        <sz val="8"/>
        <rFont val="Arial"/>
        <family val="2"/>
      </rPr>
      <t>s</t>
    </r>
    <r>
      <rPr>
        <sz val="10"/>
        <rFont val="Arial"/>
        <family val="2"/>
      </rPr>
      <t>):</t>
    </r>
  </si>
  <si>
    <t>Where:</t>
  </si>
  <si>
    <r>
      <t>L</t>
    </r>
    <r>
      <rPr>
        <sz val="8"/>
        <rFont val="Arial"/>
        <family val="2"/>
      </rPr>
      <t xml:space="preserve">A          </t>
    </r>
  </si>
  <si>
    <r>
      <t xml:space="preserve">       L</t>
    </r>
    <r>
      <rPr>
        <sz val="8"/>
        <rFont val="Arial"/>
        <family val="2"/>
      </rPr>
      <t xml:space="preserve">B   </t>
    </r>
  </si>
  <si>
    <r>
      <t xml:space="preserve">      L</t>
    </r>
    <r>
      <rPr>
        <sz val="8"/>
        <rFont val="Arial"/>
        <family val="2"/>
      </rPr>
      <t>C</t>
    </r>
  </si>
  <si>
    <r>
      <t>T</t>
    </r>
    <r>
      <rPr>
        <sz val="8"/>
        <rFont val="Arial"/>
        <family val="2"/>
      </rPr>
      <t>o</t>
    </r>
  </si>
  <si>
    <r>
      <t xml:space="preserve">      T</t>
    </r>
    <r>
      <rPr>
        <sz val="8"/>
        <rFont val="Arial"/>
        <family val="2"/>
      </rPr>
      <t>o</t>
    </r>
  </si>
  <si>
    <r>
      <t>T</t>
    </r>
    <r>
      <rPr>
        <sz val="8"/>
        <rFont val="Arial"/>
        <family val="2"/>
      </rPr>
      <t>a</t>
    </r>
    <r>
      <rPr>
        <sz val="10"/>
        <rFont val="Arial"/>
        <family val="2"/>
      </rPr>
      <t xml:space="preserve"> </t>
    </r>
    <r>
      <rPr>
        <sz val="10"/>
        <rFont val="Symbol"/>
        <family val="1"/>
        <charset val="2"/>
      </rPr>
      <t>º</t>
    </r>
    <r>
      <rPr>
        <sz val="10"/>
        <rFont val="Arial"/>
        <family val="2"/>
      </rPr>
      <t xml:space="preserve"> Antenna Temperature or Sky Temperature (</t>
    </r>
    <r>
      <rPr>
        <sz val="10"/>
        <rFont val="Arial"/>
        <family val="2"/>
      </rPr>
      <t>°K)</t>
    </r>
  </si>
  <si>
    <r>
      <t>T</t>
    </r>
    <r>
      <rPr>
        <sz val="8"/>
        <rFont val="Arial"/>
        <family val="2"/>
      </rPr>
      <t>o</t>
    </r>
    <r>
      <rPr>
        <sz val="10"/>
        <rFont val="Arial"/>
        <family val="2"/>
      </rPr>
      <t xml:space="preserve"> </t>
    </r>
    <r>
      <rPr>
        <sz val="10"/>
        <rFont val="Symbol"/>
        <family val="1"/>
        <charset val="2"/>
      </rPr>
      <t>º</t>
    </r>
    <r>
      <rPr>
        <sz val="10"/>
        <rFont val="Arial"/>
        <family val="2"/>
      </rPr>
      <t xml:space="preserve"> System Line Temperature (Physical Temperature) (</t>
    </r>
    <r>
      <rPr>
        <sz val="10"/>
        <rFont val="Arial"/>
        <family val="2"/>
      </rPr>
      <t>°K)</t>
    </r>
  </si>
  <si>
    <r>
      <t>T</t>
    </r>
    <r>
      <rPr>
        <sz val="8"/>
        <rFont val="Arial"/>
        <family val="2"/>
      </rPr>
      <t>LNA</t>
    </r>
    <r>
      <rPr>
        <sz val="10"/>
        <rFont val="Symbol"/>
        <family val="1"/>
        <charset val="2"/>
      </rPr>
      <t>º</t>
    </r>
    <r>
      <rPr>
        <sz val="10"/>
        <rFont val="Arial"/>
        <family val="2"/>
      </rPr>
      <t xml:space="preserve"> Noise Temperature of the Low Noise Amplifier (</t>
    </r>
    <r>
      <rPr>
        <sz val="10"/>
        <rFont val="Arial"/>
        <family val="2"/>
      </rPr>
      <t>°K)</t>
    </r>
  </si>
  <si>
    <r>
      <t>a</t>
    </r>
    <r>
      <rPr>
        <sz val="10"/>
        <rFont val="Arial"/>
        <family val="2"/>
      </rPr>
      <t xml:space="preserve"> </t>
    </r>
    <r>
      <rPr>
        <sz val="10"/>
        <rFont val="Symbol"/>
        <family val="1"/>
        <charset val="2"/>
      </rPr>
      <t xml:space="preserve">º </t>
    </r>
    <r>
      <rPr>
        <sz val="10"/>
        <rFont val="Arial"/>
        <family val="2"/>
      </rPr>
      <t xml:space="preserve">Feed Line Coefficient = </t>
    </r>
    <r>
      <rPr>
        <sz val="10"/>
        <rFont val="Arial"/>
        <family val="2"/>
      </rPr>
      <t xml:space="preserve"> 10^ -((L</t>
    </r>
    <r>
      <rPr>
        <sz val="8"/>
        <rFont val="Arial"/>
        <family val="2"/>
      </rPr>
      <t>A</t>
    </r>
    <r>
      <rPr>
        <sz val="10"/>
        <rFont val="Arial"/>
        <family val="2"/>
      </rPr>
      <t>/10)+(L</t>
    </r>
    <r>
      <rPr>
        <sz val="8"/>
        <rFont val="Arial"/>
        <family val="2"/>
      </rPr>
      <t>B</t>
    </r>
    <r>
      <rPr>
        <sz val="10"/>
        <rFont val="Arial"/>
        <family val="2"/>
      </rPr>
      <t>/10)+(L</t>
    </r>
    <r>
      <rPr>
        <sz val="8"/>
        <rFont val="Arial"/>
        <family val="2"/>
      </rPr>
      <t>C</t>
    </r>
    <r>
      <rPr>
        <sz val="10"/>
        <rFont val="Arial"/>
        <family val="2"/>
      </rPr>
      <t>/10)+(L</t>
    </r>
    <r>
      <rPr>
        <sz val="8"/>
        <rFont val="Arial"/>
        <family val="2"/>
      </rPr>
      <t>BPF</t>
    </r>
    <r>
      <rPr>
        <sz val="10"/>
        <rFont val="Arial"/>
        <family val="2"/>
      </rPr>
      <t>/10)+(L</t>
    </r>
    <r>
      <rPr>
        <sz val="8"/>
        <rFont val="Arial"/>
        <family val="2"/>
      </rPr>
      <t>other</t>
    </r>
    <r>
      <rPr>
        <sz val="10"/>
        <rFont val="Arial"/>
        <family val="2"/>
      </rPr>
      <t>/10))</t>
    </r>
  </si>
  <si>
    <r>
      <t>T</t>
    </r>
    <r>
      <rPr>
        <sz val="8"/>
        <rFont val="Arial"/>
        <family val="2"/>
      </rPr>
      <t>LNA</t>
    </r>
  </si>
  <si>
    <r>
      <t>T</t>
    </r>
    <r>
      <rPr>
        <b/>
        <sz val="8"/>
        <rFont val="Arial"/>
        <family val="2"/>
      </rPr>
      <t>s</t>
    </r>
    <r>
      <rPr>
        <b/>
        <sz val="10"/>
        <rFont val="Arial"/>
        <family val="2"/>
      </rPr>
      <t>= (</t>
    </r>
    <r>
      <rPr>
        <b/>
        <sz val="10"/>
        <rFont val="Symbol"/>
        <family val="1"/>
        <charset val="2"/>
      </rPr>
      <t>a</t>
    </r>
    <r>
      <rPr>
        <b/>
        <sz val="10"/>
        <rFont val="Arial"/>
        <family val="2"/>
      </rPr>
      <t>)T</t>
    </r>
    <r>
      <rPr>
        <b/>
        <sz val="8"/>
        <rFont val="Arial"/>
        <family val="2"/>
      </rPr>
      <t>a</t>
    </r>
    <r>
      <rPr>
        <b/>
        <sz val="10"/>
        <rFont val="Arial"/>
        <family val="2"/>
      </rPr>
      <t xml:space="preserve"> + (1-</t>
    </r>
    <r>
      <rPr>
        <b/>
        <sz val="10"/>
        <rFont val="Symbol"/>
        <family val="1"/>
        <charset val="2"/>
      </rPr>
      <t>a</t>
    </r>
    <r>
      <rPr>
        <b/>
        <sz val="10"/>
        <rFont val="Arial"/>
        <family val="2"/>
      </rPr>
      <t>)T</t>
    </r>
    <r>
      <rPr>
        <b/>
        <sz val="8"/>
        <rFont val="Arial"/>
        <family val="2"/>
      </rPr>
      <t xml:space="preserve">o + </t>
    </r>
    <r>
      <rPr>
        <b/>
        <sz val="10"/>
        <rFont val="Arial"/>
        <family val="2"/>
      </rPr>
      <t>T</t>
    </r>
    <r>
      <rPr>
        <b/>
        <sz val="8"/>
        <rFont val="Arial"/>
        <family val="2"/>
      </rPr>
      <t>LNA +</t>
    </r>
    <r>
      <rPr>
        <b/>
        <sz val="10"/>
        <rFont val="Arial"/>
        <family val="2"/>
      </rPr>
      <t xml:space="preserve"> T</t>
    </r>
    <r>
      <rPr>
        <b/>
        <sz val="8"/>
        <rFont val="Arial"/>
        <family val="2"/>
      </rPr>
      <t>2ndStage</t>
    </r>
    <r>
      <rPr>
        <b/>
        <sz val="10"/>
        <rFont val="Arial"/>
        <family val="2"/>
      </rPr>
      <t>/G</t>
    </r>
    <r>
      <rPr>
        <b/>
        <sz val="8"/>
        <rFont val="Arial"/>
        <family val="2"/>
      </rPr>
      <t>LNA</t>
    </r>
  </si>
  <si>
    <t xml:space="preserve">                          Adjustments and/or Modifications Made:</t>
  </si>
  <si>
    <t>Polarization Angle θ between antennas =</t>
  </si>
  <si>
    <t>Axial ratio of Tx Antenna (Ant. #1) in dB =</t>
  </si>
  <si>
    <t xml:space="preserve">There is, however, a frequency depencency that can be quantified, on average.  As transmitter frequencies   </t>
  </si>
  <si>
    <t>go below 100 MHz there are times when the attenuation can increase to as much as tens of dB,</t>
  </si>
  <si>
    <t xml:space="preserve">for longer S/C cable runs.  The cable is single shielded with a silver coated copper braid.  The center conductor is </t>
  </si>
  <si>
    <t>Losses are quite high per unit length as the cable diameter is only 0.098" (2.49 mm).  Still, the losses are acceptable</t>
  </si>
  <si>
    <r>
      <t>L</t>
    </r>
    <r>
      <rPr>
        <sz val="8"/>
        <rFont val="Arial"/>
        <family val="2"/>
      </rPr>
      <t>A</t>
    </r>
    <r>
      <rPr>
        <sz val="10"/>
        <rFont val="Arial"/>
        <family val="2"/>
      </rPr>
      <t>, L</t>
    </r>
    <r>
      <rPr>
        <sz val="8"/>
        <rFont val="Arial"/>
        <family val="2"/>
      </rPr>
      <t>B</t>
    </r>
    <r>
      <rPr>
        <sz val="10"/>
        <rFont val="Arial"/>
        <family val="2"/>
      </rPr>
      <t>, L</t>
    </r>
    <r>
      <rPr>
        <sz val="8"/>
        <rFont val="Arial"/>
        <family val="2"/>
      </rPr>
      <t>C</t>
    </r>
    <r>
      <rPr>
        <sz val="10"/>
        <rFont val="Arial"/>
        <family val="2"/>
      </rPr>
      <t xml:space="preserve"> </t>
    </r>
    <r>
      <rPr>
        <sz val="10"/>
        <rFont val="Symbol"/>
        <family val="1"/>
        <charset val="2"/>
      </rPr>
      <t>º</t>
    </r>
    <r>
      <rPr>
        <sz val="10"/>
        <rFont val="Arial"/>
        <family val="2"/>
      </rPr>
      <t xml:space="preserve"> All Cable or Waveguide Losses (expressed in dB)</t>
    </r>
  </si>
  <si>
    <r>
      <t>L</t>
    </r>
    <r>
      <rPr>
        <sz val="8"/>
        <rFont val="Arial"/>
        <family val="2"/>
      </rPr>
      <t>BPF</t>
    </r>
    <r>
      <rPr>
        <sz val="10"/>
        <rFont val="Arial"/>
        <family val="2"/>
      </rPr>
      <t xml:space="preserve"> </t>
    </r>
    <r>
      <rPr>
        <sz val="10"/>
        <rFont val="Symbol"/>
        <family val="1"/>
        <charset val="2"/>
      </rPr>
      <t>º</t>
    </r>
    <r>
      <rPr>
        <sz val="10"/>
        <rFont val="Arial"/>
        <family val="2"/>
      </rPr>
      <t xml:space="preserve"> Insertion Loss of any bandpass fiter used in front of LNA (expressed in dB)</t>
    </r>
  </si>
  <si>
    <r>
      <t>L</t>
    </r>
    <r>
      <rPr>
        <sz val="8"/>
        <rFont val="Arial"/>
        <family val="2"/>
      </rPr>
      <t>other</t>
    </r>
    <r>
      <rPr>
        <sz val="10"/>
        <rFont val="Arial"/>
        <family val="2"/>
      </rPr>
      <t xml:space="preserve"> </t>
    </r>
    <r>
      <rPr>
        <sz val="10"/>
        <rFont val="Symbol"/>
        <family val="1"/>
        <charset val="2"/>
      </rPr>
      <t>º</t>
    </r>
    <r>
      <rPr>
        <sz val="10"/>
        <rFont val="Arial"/>
        <family val="2"/>
      </rPr>
      <t xml:space="preserve"> Insertion Loss of any other In-Line device in front of LNA (expressed in dB)</t>
    </r>
  </si>
  <si>
    <r>
      <t>T</t>
    </r>
    <r>
      <rPr>
        <sz val="8"/>
        <rFont val="Arial"/>
        <family val="2"/>
      </rPr>
      <t>2nd Stage</t>
    </r>
  </si>
  <si>
    <r>
      <t>T</t>
    </r>
    <r>
      <rPr>
        <sz val="8"/>
        <rFont val="Arial"/>
        <family val="2"/>
      </rPr>
      <t>2nd Stage</t>
    </r>
    <r>
      <rPr>
        <sz val="10"/>
        <rFont val="Arial"/>
        <family val="2"/>
      </rPr>
      <t xml:space="preserve"> </t>
    </r>
    <r>
      <rPr>
        <sz val="10"/>
        <rFont val="Symbol"/>
        <family val="1"/>
        <charset val="2"/>
      </rPr>
      <t>º</t>
    </r>
    <r>
      <rPr>
        <sz val="10"/>
        <rFont val="Arial"/>
        <family val="2"/>
      </rPr>
      <t xml:space="preserve">  Noise Temperature of Next Stage Amplifier or Mixer (</t>
    </r>
    <r>
      <rPr>
        <sz val="10"/>
        <rFont val="Arial"/>
        <family val="2"/>
      </rPr>
      <t>°K)</t>
    </r>
  </si>
  <si>
    <r>
      <t>G</t>
    </r>
    <r>
      <rPr>
        <sz val="8"/>
        <rFont val="Arial"/>
        <family val="2"/>
      </rPr>
      <t>LNA</t>
    </r>
    <r>
      <rPr>
        <sz val="10"/>
        <rFont val="Arial"/>
        <family val="2"/>
      </rPr>
      <t xml:space="preserve"> </t>
    </r>
    <r>
      <rPr>
        <sz val="10"/>
        <rFont val="Symbol"/>
        <family val="1"/>
        <charset val="2"/>
      </rPr>
      <t>º</t>
    </r>
    <r>
      <rPr>
        <sz val="10"/>
        <rFont val="Arial"/>
        <family val="2"/>
      </rPr>
      <t xml:space="preserve"> The gain of the LNA in linear (non-dB) units</t>
    </r>
  </si>
  <si>
    <t>Cable or Waveguide "Line" Losses:</t>
  </si>
  <si>
    <t>Cable or Waveguide ("Line") Losses:</t>
  </si>
  <si>
    <t xml:space="preserve">dB (at freq.) </t>
  </si>
  <si>
    <r>
      <t>L</t>
    </r>
    <r>
      <rPr>
        <sz val="8"/>
        <rFont val="Arial"/>
        <family val="2"/>
      </rPr>
      <t>A</t>
    </r>
    <r>
      <rPr>
        <sz val="10"/>
        <rFont val="Arial"/>
        <family val="2"/>
      </rPr>
      <t xml:space="preserve"> = </t>
    </r>
  </si>
  <si>
    <r>
      <t>L</t>
    </r>
    <r>
      <rPr>
        <sz val="8"/>
        <rFont val="Arial"/>
        <family val="2"/>
      </rPr>
      <t>B</t>
    </r>
    <r>
      <rPr>
        <sz val="10"/>
        <rFont val="Arial"/>
        <family val="2"/>
      </rPr>
      <t xml:space="preserve"> = </t>
    </r>
  </si>
  <si>
    <r>
      <t>L</t>
    </r>
    <r>
      <rPr>
        <sz val="8"/>
        <rFont val="Arial"/>
        <family val="2"/>
      </rPr>
      <t>C</t>
    </r>
    <r>
      <rPr>
        <sz val="10"/>
        <rFont val="Arial"/>
        <family val="2"/>
      </rPr>
      <t xml:space="preserve"> = </t>
    </r>
  </si>
  <si>
    <t>Line A Loss:</t>
  </si>
  <si>
    <t>Quad. Angle Range:</t>
  </si>
  <si>
    <t>Added HEO, GEO and Deep Space Orbit Capability.  Link Model Operator selects options.  Separted Orbit and Frequency into two separate pages.</t>
  </si>
  <si>
    <t>Not Released</t>
  </si>
  <si>
    <t>Line B Loss:</t>
  </si>
  <si>
    <t>Line C Loss:</t>
  </si>
  <si>
    <t>Bandpass Filter Insertion Loss:</t>
  </si>
  <si>
    <r>
      <t>L</t>
    </r>
    <r>
      <rPr>
        <sz val="8"/>
        <rFont val="Arial"/>
        <family val="2"/>
      </rPr>
      <t>BPF</t>
    </r>
    <r>
      <rPr>
        <sz val="10"/>
        <rFont val="Arial"/>
        <family val="2"/>
      </rPr>
      <t xml:space="preserve"> =</t>
    </r>
  </si>
  <si>
    <t>Insertion Loss of Other In-Line Devices:</t>
  </si>
  <si>
    <r>
      <t>L</t>
    </r>
    <r>
      <rPr>
        <sz val="8"/>
        <rFont val="Arial"/>
        <family val="2"/>
      </rPr>
      <t>other</t>
    </r>
    <r>
      <rPr>
        <sz val="10"/>
        <rFont val="Arial"/>
        <family val="2"/>
      </rPr>
      <t xml:space="preserve"> = </t>
    </r>
  </si>
  <si>
    <t>Total In-Line Losses from Antenna to LNA:</t>
  </si>
  <si>
    <t>Transmission Line Coefficient:</t>
  </si>
  <si>
    <r>
      <t>a</t>
    </r>
    <r>
      <rPr>
        <sz val="10"/>
        <rFont val="Arial"/>
        <family val="2"/>
      </rPr>
      <t xml:space="preserve"> = </t>
    </r>
  </si>
  <si>
    <t>Antenna or "Sky" Temperature:</t>
  </si>
  <si>
    <r>
      <t>T</t>
    </r>
    <r>
      <rPr>
        <sz val="8"/>
        <rFont val="Arial"/>
        <family val="2"/>
      </rPr>
      <t>a</t>
    </r>
    <r>
      <rPr>
        <sz val="10"/>
        <rFont val="Arial"/>
        <family val="2"/>
      </rPr>
      <t xml:space="preserve"> =</t>
    </r>
  </si>
  <si>
    <t>Spacecraft Temperature:</t>
  </si>
  <si>
    <r>
      <t>T</t>
    </r>
    <r>
      <rPr>
        <sz val="8"/>
        <rFont val="Arial"/>
        <family val="2"/>
      </rPr>
      <t>o</t>
    </r>
    <r>
      <rPr>
        <sz val="10"/>
        <rFont val="Arial"/>
        <family val="2"/>
      </rPr>
      <t xml:space="preserve"> =</t>
    </r>
  </si>
  <si>
    <t>LNA Temperature:</t>
  </si>
  <si>
    <r>
      <t>T</t>
    </r>
    <r>
      <rPr>
        <sz val="8"/>
        <rFont val="Arial"/>
        <family val="2"/>
      </rPr>
      <t>LNA</t>
    </r>
    <r>
      <rPr>
        <sz val="10"/>
        <rFont val="Arial"/>
        <family val="2"/>
      </rPr>
      <t xml:space="preserve"> =</t>
    </r>
  </si>
  <si>
    <t>2nd Stage Temperature:</t>
  </si>
  <si>
    <t>LNA Gain:</t>
  </si>
  <si>
    <r>
      <t>G</t>
    </r>
    <r>
      <rPr>
        <sz val="8"/>
        <rFont val="Arial"/>
        <family val="2"/>
      </rPr>
      <t>LNA</t>
    </r>
    <r>
      <rPr>
        <sz val="10"/>
        <rFont val="Arial"/>
        <family val="2"/>
      </rPr>
      <t xml:space="preserve"> =</t>
    </r>
  </si>
  <si>
    <r>
      <t>T</t>
    </r>
    <r>
      <rPr>
        <sz val="8"/>
        <rFont val="Arial"/>
        <family val="2"/>
      </rPr>
      <t>2ndStage</t>
    </r>
    <r>
      <rPr>
        <sz val="10"/>
        <rFont val="Arial"/>
        <family val="2"/>
      </rPr>
      <t xml:space="preserve"> =</t>
    </r>
  </si>
  <si>
    <t>System Noise Temperature:</t>
  </si>
  <si>
    <r>
      <t>T</t>
    </r>
    <r>
      <rPr>
        <sz val="8"/>
        <rFont val="Arial"/>
        <family val="2"/>
      </rPr>
      <t>s</t>
    </r>
    <r>
      <rPr>
        <sz val="10"/>
        <rFont val="Arial"/>
        <family val="2"/>
      </rPr>
      <t xml:space="preserve"> =</t>
    </r>
  </si>
  <si>
    <t>or</t>
  </si>
  <si>
    <r>
      <t>NF</t>
    </r>
    <r>
      <rPr>
        <sz val="8"/>
        <rFont val="Arial"/>
        <family val="2"/>
      </rPr>
      <t xml:space="preserve">dB </t>
    </r>
    <r>
      <rPr>
        <sz val="10"/>
        <rFont val="Arial"/>
        <family val="2"/>
      </rPr>
      <t>=</t>
    </r>
  </si>
  <si>
    <r>
      <t>T</t>
    </r>
    <r>
      <rPr>
        <sz val="10"/>
        <rFont val="Arial"/>
        <family val="2"/>
      </rPr>
      <t xml:space="preserve"> = T</t>
    </r>
    <r>
      <rPr>
        <sz val="8"/>
        <rFont val="Arial"/>
        <family val="2"/>
      </rPr>
      <t>o</t>
    </r>
    <r>
      <rPr>
        <sz val="10"/>
        <rFont val="Arial"/>
        <family val="2"/>
      </rPr>
      <t>[10^(NF</t>
    </r>
    <r>
      <rPr>
        <sz val="8"/>
        <rFont val="Arial"/>
        <family val="2"/>
      </rPr>
      <t>dB</t>
    </r>
    <r>
      <rPr>
        <sz val="10"/>
        <rFont val="Arial"/>
        <family val="2"/>
      </rPr>
      <t>/10)-1]</t>
    </r>
  </si>
  <si>
    <r>
      <t>NF</t>
    </r>
    <r>
      <rPr>
        <sz val="8"/>
        <rFont val="Arial"/>
        <family val="2"/>
      </rPr>
      <t>dB</t>
    </r>
    <r>
      <rPr>
        <sz val="10"/>
        <rFont val="Arial"/>
        <family val="2"/>
      </rPr>
      <t xml:space="preserve"> = 10 LOG</t>
    </r>
    <r>
      <rPr>
        <sz val="8"/>
        <rFont val="Arial"/>
        <family val="2"/>
      </rPr>
      <t>10</t>
    </r>
    <r>
      <rPr>
        <sz val="10"/>
        <rFont val="Arial"/>
        <family val="2"/>
      </rPr>
      <t>[1+(T</t>
    </r>
    <r>
      <rPr>
        <sz val="10"/>
        <rFont val="Arial"/>
        <family val="2"/>
      </rPr>
      <t>/T</t>
    </r>
    <r>
      <rPr>
        <sz val="8"/>
        <rFont val="Arial"/>
        <family val="2"/>
      </rPr>
      <t>o</t>
    </r>
    <r>
      <rPr>
        <sz val="10"/>
        <rFont val="Arial"/>
        <family val="2"/>
      </rPr>
      <t xml:space="preserve">)] </t>
    </r>
  </si>
  <si>
    <t>T =</t>
  </si>
  <si>
    <r>
      <t>NF</t>
    </r>
    <r>
      <rPr>
        <sz val="8"/>
        <rFont val="Arial"/>
        <family val="2"/>
      </rPr>
      <t xml:space="preserve">dB  </t>
    </r>
    <r>
      <rPr>
        <sz val="10"/>
        <rFont val="Arial"/>
        <family val="2"/>
      </rPr>
      <t>=</t>
    </r>
  </si>
  <si>
    <t>OR</t>
  </si>
  <si>
    <t>Enter Data Here:</t>
  </si>
  <si>
    <t>Result is Here</t>
  </si>
  <si>
    <t>Downlink Receiver System (At Ground Station):</t>
  </si>
  <si>
    <r>
      <t>T</t>
    </r>
    <r>
      <rPr>
        <sz val="8"/>
        <rFont val="Arial"/>
        <family val="2"/>
      </rPr>
      <t>o</t>
    </r>
    <r>
      <rPr>
        <sz val="10"/>
        <rFont val="Arial"/>
        <family val="2"/>
      </rPr>
      <t xml:space="preserve"> </t>
    </r>
    <r>
      <rPr>
        <sz val="10"/>
        <rFont val="Symbol"/>
        <family val="1"/>
        <charset val="2"/>
      </rPr>
      <t>º</t>
    </r>
    <r>
      <rPr>
        <sz val="10"/>
        <rFont val="Arial"/>
        <family val="2"/>
      </rPr>
      <t xml:space="preserve"> System Line Temperature (Physical Temperature) (</t>
    </r>
    <r>
      <rPr>
        <sz val="10"/>
        <rFont val="Arial"/>
        <family val="2"/>
      </rPr>
      <t xml:space="preserve">°K) </t>
    </r>
    <r>
      <rPr>
        <sz val="10"/>
        <rFont val="Symbol"/>
        <family val="1"/>
        <charset val="2"/>
      </rPr>
      <t>º</t>
    </r>
    <r>
      <rPr>
        <sz val="10"/>
        <rFont val="Arial"/>
        <family val="2"/>
      </rPr>
      <t xml:space="preserve"> System Reference Temperature</t>
    </r>
  </si>
  <si>
    <t xml:space="preserve">No. of In-Line Connectors: </t>
  </si>
  <si>
    <t>X .05 dB/Con.=</t>
  </si>
  <si>
    <t xml:space="preserve">dB at frequency </t>
  </si>
  <si>
    <t>X 0.05 dB/con.=</t>
  </si>
  <si>
    <t xml:space="preserve">NOTE:  </t>
  </si>
  <si>
    <t xml:space="preserve">Receiver Frequency:  </t>
  </si>
  <si>
    <t>Coldest Galactic Noise Temp.:</t>
  </si>
  <si>
    <t>Warmest Galactic Noise Temp:</t>
  </si>
  <si>
    <t>Galactic Noise Component:</t>
  </si>
  <si>
    <t>Receiver Bandwidth:</t>
  </si>
  <si>
    <t>Noise Source Effective Temperature:</t>
  </si>
  <si>
    <t>KHz</t>
  </si>
  <si>
    <t>Minimum Sky Noise  Temp:</t>
  </si>
  <si>
    <t>Maximum Sky Noise Temp:</t>
  </si>
  <si>
    <t>Antenna Length:</t>
  </si>
  <si>
    <t xml:space="preserve">       Antenna Length:</t>
  </si>
  <si>
    <t>The values provided in this table are approximate mean values for low earth station elevation angles.</t>
  </si>
  <si>
    <t>Modulation/Demodulation Method:</t>
  </si>
  <si>
    <t>System Polarization Loss and Cross Polarization Isolation:</t>
  </si>
  <si>
    <t>System Antenna Pointing Losses:</t>
  </si>
  <si>
    <t xml:space="preserve">NOTE: </t>
  </si>
  <si>
    <t>Downlink Antenna System:</t>
  </si>
  <si>
    <t>No Signal</t>
  </si>
  <si>
    <t>MONOPOLE  ELEVATION PATTERN</t>
  </si>
  <si>
    <t>(Or Canted Turnstyle)</t>
  </si>
  <si>
    <r>
      <t>Esimated Pointing Error (</t>
    </r>
    <r>
      <rPr>
        <b/>
        <sz val="10"/>
        <rFont val="Arial"/>
        <family val="2"/>
      </rPr>
      <t>θ</t>
    </r>
    <r>
      <rPr>
        <b/>
        <sz val="8"/>
        <rFont val="Arial"/>
        <family val="2"/>
      </rPr>
      <t>4)</t>
    </r>
    <r>
      <rPr>
        <b/>
        <sz val="10"/>
        <rFont val="Arial"/>
        <family val="2"/>
      </rPr>
      <t>:</t>
    </r>
  </si>
  <si>
    <t>This Option was Selected on the Previous Page</t>
  </si>
  <si>
    <t>This Option was Selected on the  Previous Page</t>
  </si>
  <si>
    <t>Figure 1</t>
  </si>
  <si>
    <t>Figure 2</t>
  </si>
  <si>
    <t>[Types 1 thru 5]</t>
  </si>
  <si>
    <t>See Figures 1and 3</t>
  </si>
  <si>
    <t>See Figures 1and 4</t>
  </si>
  <si>
    <t>See Figures 1and 6</t>
  </si>
  <si>
    <t>See Figures 1and 7</t>
  </si>
  <si>
    <t>See Figures 1, 5 &amp; 8</t>
  </si>
  <si>
    <t xml:space="preserve">Antenna  </t>
  </si>
  <si>
    <t>Coordinate System:</t>
  </si>
  <si>
    <t>(See Also Figure 8)</t>
  </si>
  <si>
    <t>See Figures 2, 5 &amp; 8</t>
  </si>
  <si>
    <t>See Figures 2 and 7</t>
  </si>
  <si>
    <t>See Figures 2 and 6</t>
  </si>
  <si>
    <t>See Figures 2 and 4</t>
  </si>
  <si>
    <t>See Figures 2 and 3</t>
  </si>
  <si>
    <t>System Antenna Gains (Directivities):</t>
  </si>
  <si>
    <r>
      <t xml:space="preserve">Earth and Orbit Shape for Figure in Orbit &amp; Frequency W/S  </t>
    </r>
    <r>
      <rPr>
        <b/>
        <sz val="10"/>
        <color indexed="10"/>
        <rFont val="Arial"/>
        <family val="2"/>
      </rPr>
      <t>[NOTE:  DO NOT MODIFY]</t>
    </r>
  </si>
  <si>
    <t>Spacecraft Total Transmission Line Losses:</t>
  </si>
  <si>
    <t>S/C-to-Ground Antenna Polarization Loss:</t>
  </si>
  <si>
    <t>This value is transferred from "Atmos. &amp; Ionos. Losses" W/S, Cell [D23]</t>
  </si>
  <si>
    <t>Uplink and Downlink:</t>
  </si>
  <si>
    <t xml:space="preserve">  Operator selects downlink antenna characteristics in blue boxes.</t>
  </si>
  <si>
    <t>Sanjeev Mehta</t>
  </si>
  <si>
    <t>IMAP Student Collaboration</t>
  </si>
  <si>
    <t>Polar–510 km, 97.44º inclination</t>
  </si>
  <si>
    <t>Cube Satellite</t>
  </si>
  <si>
    <t>x</t>
  </si>
  <si>
    <t>SE</t>
  </si>
  <si>
    <t>Systems Engineer</t>
  </si>
  <si>
    <t>3UCubed</t>
  </si>
  <si>
    <t>UHF/1/2.0</t>
  </si>
  <si>
    <t>Enter Name of Systems Engineer:</t>
  </si>
  <si>
    <t>Pn</t>
  </si>
  <si>
    <r>
      <t>and vector from S/C to gnd. station (θ</t>
    </r>
    <r>
      <rPr>
        <b/>
        <sz val="8"/>
        <rFont val="Arial"/>
        <family val="2"/>
      </rPr>
      <t>3</t>
    </r>
    <r>
      <rPr>
        <b/>
        <sz val="10"/>
        <rFont val="Arial"/>
        <family val="2"/>
      </rPr>
      <t>):</t>
    </r>
  </si>
  <si>
    <t>RG-316</t>
  </si>
  <si>
    <t>board traces</t>
  </si>
  <si>
    <t>System Desired Data Rate (R):</t>
  </si>
  <si>
    <t>Spacecraft Receiver Bandwidth (B):</t>
  </si>
  <si>
    <t>C/N (dB)</t>
  </si>
  <si>
    <t>C/N(dB)=10log(Eb/No)+10log(R/B)</t>
  </si>
  <si>
    <t>Ground Station at SSU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</si>
</sst>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3" formatCode="_(* #,##0.00_);_(* \(#,##0.00\);_(* &quot;-&quot;??_);_(@_)"/>
    <numFmt numFmtId="164" formatCode="0.000000"/>
    <numFmt numFmtId="165" formatCode="0.00000"/>
    <numFmt numFmtId="166" formatCode="0.0000"/>
    <numFmt numFmtId="167" formatCode="0.000"/>
    <numFmt numFmtId="168" formatCode="0.0"/>
    <numFmt numFmtId="169" formatCode="_(* #,##0_);_(* \(#,##0\);_(* &quot;-&quot;??_);_(@_)"/>
    <numFmt numFmtId="170" formatCode="0.0E+00"/>
    <numFmt numFmtId="171" formatCode="0.0\ "/>
    <numFmt numFmtId="172" formatCode="0.0&quot; m&quot;"/>
    <numFmt numFmtId="173" formatCode="0.0\ &quot;dB&quot;"/>
    <numFmt numFmtId="174" formatCode="0\ &quot;bps&quot;"/>
    <numFmt numFmtId="175" formatCode="0.0\ &quot;watts&quot;"/>
    <numFmt numFmtId="176" formatCode="0.00\ &quot;dB&quot;"/>
    <numFmt numFmtId="177" formatCode="0.000\ &quot;dB&quot;"/>
    <numFmt numFmtId="178" formatCode="0.0\ &quot;dBi&quot;"/>
    <numFmt numFmtId="179" formatCode="0.0\ &quot;dBW&quot;"/>
    <numFmt numFmtId="180" formatCode="0\ &quot;K&quot;"/>
    <numFmt numFmtId="181" formatCode="0.0\ &quot;dB/K&quot;"/>
    <numFmt numFmtId="182" formatCode="0\ &quot;Hz&quot;"/>
    <numFmt numFmtId="183" formatCode="0.00\ &quot;MHz&quot;"/>
    <numFmt numFmtId="184" formatCode="0.0%"/>
    <numFmt numFmtId="185" formatCode="0\ &quot;MHz&quot;"/>
    <numFmt numFmtId="186" formatCode="0.00&quot; m&quot;"/>
    <numFmt numFmtId="187" formatCode="0.0\ &quot;j&quot;"/>
    <numFmt numFmtId="188" formatCode="_(* #,##0.0_);_(* \(#,##0.0\);_(* &quot;-&quot;??_);_(@_)"/>
    <numFmt numFmtId="189" formatCode="#,##0.0_ ;\-#,##0.0\ "/>
    <numFmt numFmtId="190" formatCode="#,##0.0"/>
    <numFmt numFmtId="191" formatCode="#,##0.0;\-#,##0.0"/>
    <numFmt numFmtId="192" formatCode="0.00\ &quot;:1&quot;"/>
    <numFmt numFmtId="193" formatCode="0.00\ &quot;watts&quot;"/>
    <numFmt numFmtId="194" formatCode="#,##0.000"/>
    <numFmt numFmtId="195" formatCode="0.000E+00"/>
    <numFmt numFmtId="196" formatCode="[$-409]mmmm\ d\,\ yyyy;@"/>
  </numFmts>
  <fonts count="95" x14ac:knownFonts="1">
    <font>
      <sz val="10"/>
      <name val="Arial"/>
    </font>
    <font>
      <sz val="10"/>
      <name val="Arial"/>
      <family val="2"/>
    </font>
    <font>
      <u/>
      <sz val="10"/>
      <color indexed="12"/>
      <name val="Arial"/>
      <family val="2"/>
    </font>
    <font>
      <b/>
      <sz val="20"/>
      <color indexed="10"/>
      <name val="Arial"/>
      <family val="2"/>
    </font>
    <font>
      <sz val="20"/>
      <name val="Arial"/>
      <family val="2"/>
    </font>
    <font>
      <b/>
      <sz val="12"/>
      <name val="Arial"/>
      <family val="2"/>
    </font>
    <font>
      <b/>
      <sz val="10"/>
      <name val="Arial"/>
      <family val="2"/>
    </font>
    <font>
      <b/>
      <sz val="12"/>
      <color indexed="12"/>
      <name val="Arial"/>
      <family val="2"/>
    </font>
    <font>
      <b/>
      <sz val="10"/>
      <color indexed="12"/>
      <name val="Arial"/>
      <family val="2"/>
    </font>
    <font>
      <sz val="10"/>
      <color indexed="12"/>
      <name val="Arial"/>
      <family val="2"/>
    </font>
    <font>
      <sz val="12"/>
      <name val="Arial"/>
      <family val="2"/>
    </font>
    <font>
      <i/>
      <sz val="10"/>
      <name val="Arial"/>
      <family val="2"/>
    </font>
    <font>
      <sz val="10"/>
      <name val="Arial"/>
      <family val="2"/>
    </font>
    <font>
      <sz val="10"/>
      <name val="Symbol"/>
      <family val="1"/>
      <charset val="2"/>
    </font>
    <font>
      <b/>
      <sz val="10"/>
      <name val="Symbol"/>
      <family val="1"/>
      <charset val="2"/>
    </font>
    <font>
      <b/>
      <sz val="10"/>
      <name val="Arial"/>
      <family val="2"/>
    </font>
    <font>
      <sz val="10"/>
      <color indexed="10"/>
      <name val="Arial"/>
      <family val="2"/>
    </font>
    <font>
      <b/>
      <sz val="10"/>
      <color indexed="10"/>
      <name val="Arial"/>
      <family val="2"/>
    </font>
    <font>
      <b/>
      <sz val="14"/>
      <color indexed="10"/>
      <name val="Arial"/>
      <family val="2"/>
    </font>
    <font>
      <i/>
      <sz val="10"/>
      <color indexed="10"/>
      <name val="Arial"/>
      <family val="2"/>
    </font>
    <font>
      <b/>
      <sz val="16"/>
      <name val="Arial"/>
      <family val="2"/>
    </font>
    <font>
      <u/>
      <sz val="10"/>
      <name val="Arial"/>
      <family val="2"/>
    </font>
    <font>
      <b/>
      <i/>
      <sz val="10"/>
      <color indexed="10"/>
      <name val="Arial"/>
      <family val="2"/>
    </font>
    <font>
      <b/>
      <u/>
      <sz val="10"/>
      <name val="Symbol"/>
      <family val="1"/>
      <charset val="2"/>
    </font>
    <font>
      <u/>
      <sz val="10"/>
      <name val="Arial"/>
      <family val="2"/>
    </font>
    <font>
      <sz val="10"/>
      <color indexed="12"/>
      <name val="Arial"/>
      <family val="2"/>
    </font>
    <font>
      <sz val="8"/>
      <name val="Arial"/>
      <family val="2"/>
    </font>
    <font>
      <i/>
      <sz val="12"/>
      <name val="Arial"/>
      <family val="2"/>
    </font>
    <font>
      <sz val="12"/>
      <color indexed="12"/>
      <name val="Arial"/>
      <family val="2"/>
    </font>
    <font>
      <sz val="10"/>
      <color indexed="10"/>
      <name val="Arial"/>
      <family val="2"/>
    </font>
    <font>
      <sz val="14"/>
      <name val="Arial"/>
      <family val="2"/>
    </font>
    <font>
      <sz val="8"/>
      <name val="Arial"/>
      <family val="2"/>
    </font>
    <font>
      <sz val="14"/>
      <name val="Arial"/>
      <family val="2"/>
    </font>
    <font>
      <b/>
      <sz val="10"/>
      <name val="Times New Roman"/>
      <family val="1"/>
    </font>
    <font>
      <sz val="9"/>
      <name val="Arial"/>
      <family val="2"/>
    </font>
    <font>
      <b/>
      <sz val="14"/>
      <name val="Arial"/>
      <family val="2"/>
    </font>
    <font>
      <b/>
      <sz val="9"/>
      <name val="Arial"/>
      <family val="2"/>
    </font>
    <font>
      <b/>
      <sz val="8"/>
      <name val="Arial"/>
      <family val="2"/>
    </font>
    <font>
      <sz val="10"/>
      <name val="Symbol"/>
      <charset val="2"/>
    </font>
    <font>
      <sz val="8"/>
      <color indexed="81"/>
      <name val="Tahoma"/>
      <family val="2"/>
    </font>
    <font>
      <sz val="12"/>
      <name val="Arial"/>
      <family val="2"/>
    </font>
    <font>
      <b/>
      <sz val="12"/>
      <name val="Arial"/>
      <family val="2"/>
    </font>
    <font>
      <sz val="10"/>
      <name val="Arial"/>
      <family val="2"/>
    </font>
    <font>
      <b/>
      <sz val="14"/>
      <color indexed="12"/>
      <name val="Arial"/>
      <family val="2"/>
    </font>
    <font>
      <b/>
      <i/>
      <sz val="14"/>
      <color indexed="12"/>
      <name val="Arial"/>
      <family val="2"/>
    </font>
    <font>
      <sz val="9"/>
      <color indexed="81"/>
      <name val="Tahoma"/>
      <family val="2"/>
    </font>
    <font>
      <sz val="10"/>
      <color indexed="81"/>
      <name val="Tahoma"/>
      <family val="2"/>
    </font>
    <font>
      <sz val="10"/>
      <color indexed="81"/>
      <name val="Arial"/>
      <family val="2"/>
    </font>
    <font>
      <i/>
      <sz val="10"/>
      <color indexed="81"/>
      <name val="Tahoma"/>
      <family val="2"/>
    </font>
    <font>
      <b/>
      <sz val="18"/>
      <name val="Arial"/>
      <family val="2"/>
    </font>
    <font>
      <b/>
      <sz val="12"/>
      <name val="Symbol"/>
      <family val="1"/>
      <charset val="2"/>
    </font>
    <font>
      <sz val="10"/>
      <color indexed="81"/>
      <name val="Symbol"/>
      <family val="1"/>
      <charset val="2"/>
    </font>
    <font>
      <sz val="10"/>
      <color indexed="22"/>
      <name val="Arial"/>
      <family val="2"/>
    </font>
    <font>
      <b/>
      <sz val="10"/>
      <color indexed="22"/>
      <name val="Symbol"/>
      <family val="1"/>
      <charset val="2"/>
    </font>
    <font>
      <sz val="10"/>
      <color indexed="22"/>
      <name val="Arial"/>
      <family val="2"/>
    </font>
    <font>
      <sz val="9"/>
      <color indexed="10"/>
      <name val="Arial"/>
      <family val="2"/>
    </font>
    <font>
      <b/>
      <sz val="10"/>
      <color indexed="81"/>
      <name val="Tahoma"/>
      <family val="2"/>
    </font>
    <font>
      <sz val="20"/>
      <color indexed="10"/>
      <name val="Symbol"/>
      <family val="1"/>
      <charset val="2"/>
    </font>
    <font>
      <sz val="17"/>
      <color indexed="10"/>
      <name val="Arial"/>
      <family val="2"/>
    </font>
    <font>
      <b/>
      <sz val="10"/>
      <color indexed="81"/>
      <name val="Arial"/>
      <family val="2"/>
    </font>
    <font>
      <b/>
      <sz val="8"/>
      <color indexed="81"/>
      <name val="Tahoma"/>
      <family val="2"/>
    </font>
    <font>
      <b/>
      <u/>
      <sz val="10"/>
      <color indexed="81"/>
      <name val="Tahoma"/>
      <family val="2"/>
    </font>
    <font>
      <b/>
      <sz val="10"/>
      <color indexed="81"/>
      <name val="Symbol"/>
      <family val="1"/>
      <charset val="2"/>
    </font>
    <font>
      <i/>
      <sz val="8"/>
      <color indexed="81"/>
      <name val="Tahoma"/>
      <family val="2"/>
    </font>
    <font>
      <b/>
      <sz val="12"/>
      <color indexed="10"/>
      <name val="Arial"/>
      <family val="2"/>
    </font>
    <font>
      <sz val="10"/>
      <color indexed="9"/>
      <name val="Arial"/>
      <family val="2"/>
    </font>
    <font>
      <sz val="10"/>
      <color indexed="81"/>
      <name val="Symbol"/>
      <charset val="2"/>
    </font>
    <font>
      <sz val="10"/>
      <color indexed="12"/>
      <name val="Tahoma"/>
      <family val="2"/>
    </font>
    <font>
      <sz val="10"/>
      <color indexed="10"/>
      <name val="Tahoma"/>
      <family val="2"/>
    </font>
    <font>
      <sz val="8"/>
      <color indexed="12"/>
      <name val="Arial"/>
      <family val="2"/>
    </font>
    <font>
      <b/>
      <sz val="8"/>
      <color indexed="10"/>
      <name val="Arial"/>
      <family val="2"/>
    </font>
    <font>
      <b/>
      <sz val="12"/>
      <color indexed="51"/>
      <name val="Arial"/>
      <family val="2"/>
    </font>
    <font>
      <sz val="10"/>
      <name val="Geneva"/>
      <family val="2"/>
    </font>
    <font>
      <i/>
      <u/>
      <sz val="10"/>
      <name val="Geneva"/>
      <family val="2"/>
    </font>
    <font>
      <sz val="10"/>
      <color indexed="10"/>
      <name val="Geneva"/>
      <family val="2"/>
    </font>
    <font>
      <b/>
      <u/>
      <sz val="10"/>
      <name val="Arial"/>
      <family val="2"/>
    </font>
    <font>
      <b/>
      <sz val="9"/>
      <color indexed="10"/>
      <name val="Arial"/>
      <family val="2"/>
    </font>
    <font>
      <sz val="8"/>
      <color indexed="81"/>
      <name val="Arial"/>
      <family val="2"/>
    </font>
    <font>
      <b/>
      <i/>
      <sz val="12"/>
      <name val="Arial"/>
      <family val="2"/>
    </font>
    <font>
      <b/>
      <i/>
      <sz val="10"/>
      <name val="Arial"/>
      <family val="2"/>
    </font>
    <font>
      <sz val="9"/>
      <name val="Symbol"/>
      <family val="1"/>
      <charset val="2"/>
    </font>
    <font>
      <sz val="10"/>
      <color indexed="10"/>
      <name val="Arial"/>
      <family val="2"/>
    </font>
    <font>
      <b/>
      <sz val="10"/>
      <color indexed="12"/>
      <name val="Arial"/>
      <family val="2"/>
    </font>
    <font>
      <sz val="10"/>
      <color rgb="FF000000"/>
      <name val="Tahoma"/>
      <family val="2"/>
    </font>
    <font>
      <b/>
      <sz val="10"/>
      <color rgb="FF000000"/>
      <name val="Tahoma"/>
      <family val="2"/>
    </font>
    <font>
      <b/>
      <sz val="8"/>
      <color rgb="FF000000"/>
      <name val="Tahoma"/>
      <family val="2"/>
    </font>
    <font>
      <i/>
      <sz val="10"/>
      <color rgb="FF000000"/>
      <name val="Tahoma"/>
      <family val="2"/>
    </font>
    <font>
      <sz val="8"/>
      <color rgb="FF000000"/>
      <name val="Tahoma"/>
      <family val="2"/>
    </font>
    <font>
      <sz val="9"/>
      <color rgb="FF000000"/>
      <name val="Tahoma"/>
      <family val="2"/>
    </font>
    <font>
      <b/>
      <sz val="10"/>
      <color rgb="FF000000"/>
      <name val="Arial"/>
      <family val="2"/>
    </font>
    <font>
      <b/>
      <sz val="10"/>
      <color rgb="FF000000"/>
      <name val="Symbol"/>
      <family val="1"/>
      <charset val="2"/>
    </font>
    <font>
      <sz val="10"/>
      <color rgb="FF000000"/>
      <name val="Symbol"/>
      <family val="1"/>
      <charset val="2"/>
    </font>
    <font>
      <sz val="6.7"/>
      <color rgb="FF000000"/>
      <name val="Tahoma"/>
      <family val="2"/>
    </font>
    <font>
      <sz val="10"/>
      <color rgb="FF000000"/>
      <name val="Arial"/>
      <family val="2"/>
    </font>
    <font>
      <b/>
      <sz val="10"/>
      <color rgb="FFFF0000"/>
      <name val="Arial"/>
      <family val="2"/>
    </font>
  </fonts>
  <fills count="23">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4"/>
        <bgColor indexed="64"/>
      </patternFill>
    </fill>
    <fill>
      <patternFill patternType="solid">
        <fgColor indexed="13"/>
        <bgColor indexed="64"/>
      </patternFill>
    </fill>
    <fill>
      <patternFill patternType="solid">
        <fgColor indexed="49"/>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indexed="15"/>
        <bgColor indexed="64"/>
      </patternFill>
    </fill>
    <fill>
      <patternFill patternType="solid">
        <fgColor indexed="46"/>
        <bgColor indexed="64"/>
      </patternFill>
    </fill>
    <fill>
      <patternFill patternType="solid">
        <fgColor indexed="52"/>
        <bgColor indexed="64"/>
      </patternFill>
    </fill>
    <fill>
      <patternFill patternType="solid">
        <fgColor indexed="47"/>
        <bgColor indexed="64"/>
      </patternFill>
    </fill>
    <fill>
      <patternFill patternType="solid">
        <fgColor indexed="42"/>
        <bgColor indexed="64"/>
      </patternFill>
    </fill>
    <fill>
      <patternFill patternType="solid">
        <fgColor indexed="50"/>
        <bgColor indexed="64"/>
      </patternFill>
    </fill>
    <fill>
      <patternFill patternType="solid">
        <fgColor indexed="40"/>
        <bgColor indexed="64"/>
      </patternFill>
    </fill>
    <fill>
      <patternFill patternType="solid">
        <fgColor indexed="10"/>
        <bgColor indexed="64"/>
      </patternFill>
    </fill>
    <fill>
      <patternFill patternType="solid">
        <fgColor indexed="11"/>
        <bgColor indexed="64"/>
      </patternFill>
    </fill>
    <fill>
      <patternFill patternType="solid">
        <fgColor indexed="23"/>
        <bgColor indexed="64"/>
      </patternFill>
    </fill>
    <fill>
      <patternFill patternType="solid">
        <fgColor rgb="FFFFFF00"/>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72" fillId="0" borderId="0"/>
    <xf numFmtId="9" fontId="1" fillId="0" borderId="0" applyFont="0" applyFill="0" applyBorder="0" applyAlignment="0" applyProtection="0"/>
  </cellStyleXfs>
  <cellXfs count="915">
    <xf numFmtId="0" fontId="0" fillId="0" borderId="0" xfId="0"/>
    <xf numFmtId="0" fontId="6" fillId="2" borderId="0" xfId="0" applyFont="1" applyFill="1"/>
    <xf numFmtId="0" fontId="0" fillId="2" borderId="0" xfId="0" applyFill="1"/>
    <xf numFmtId="0" fontId="0" fillId="3" borderId="0" xfId="0" applyFill="1"/>
    <xf numFmtId="0" fontId="6" fillId="3" borderId="0" xfId="0" applyFont="1" applyFill="1"/>
    <xf numFmtId="0" fontId="7" fillId="4" borderId="1" xfId="0" applyFont="1" applyFill="1" applyBorder="1" applyAlignment="1">
      <alignment horizontal="center"/>
    </xf>
    <xf numFmtId="0" fontId="7" fillId="3" borderId="0" xfId="0" applyFont="1" applyFill="1" applyAlignment="1">
      <alignment horizontal="center"/>
    </xf>
    <xf numFmtId="0" fontId="8" fillId="4" borderId="2" xfId="0" applyFont="1" applyFill="1" applyBorder="1" applyAlignment="1">
      <alignment horizontal="center"/>
    </xf>
    <xf numFmtId="0" fontId="7" fillId="4" borderId="3" xfId="0" applyFont="1" applyFill="1" applyBorder="1" applyAlignment="1">
      <alignment horizontal="center"/>
    </xf>
    <xf numFmtId="0" fontId="9" fillId="3" borderId="0" xfId="0" applyFont="1" applyFill="1"/>
    <xf numFmtId="0" fontId="11" fillId="0" borderId="4"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2" fillId="3" borderId="0" xfId="0" applyFont="1" applyFill="1" applyAlignment="1">
      <alignment horizontal="left"/>
    </xf>
    <xf numFmtId="39" fontId="12" fillId="3" borderId="0" xfId="1" applyNumberFormat="1" applyFont="1" applyFill="1" applyAlignment="1">
      <alignment horizontal="center"/>
    </xf>
    <xf numFmtId="164" fontId="0" fillId="3" borderId="0" xfId="0" applyNumberFormat="1" applyFill="1" applyAlignment="1">
      <alignment horizontal="center"/>
    </xf>
    <xf numFmtId="2" fontId="0" fillId="3" borderId="0" xfId="0" applyNumberFormat="1" applyFill="1" applyAlignment="1">
      <alignment horizontal="center"/>
    </xf>
    <xf numFmtId="166" fontId="0" fillId="3" borderId="0" xfId="0" applyNumberFormat="1" applyFill="1" applyAlignment="1">
      <alignment horizontal="center"/>
    </xf>
    <xf numFmtId="0" fontId="0" fillId="3" borderId="0" xfId="0" applyFill="1" applyAlignment="1">
      <alignment horizontal="right"/>
    </xf>
    <xf numFmtId="0" fontId="0" fillId="0" borderId="0" xfId="0" applyAlignment="1">
      <alignment horizontal="center"/>
    </xf>
    <xf numFmtId="0" fontId="0" fillId="0" borderId="0" xfId="0" applyAlignment="1">
      <alignment horizontal="right"/>
    </xf>
    <xf numFmtId="164" fontId="0" fillId="0" borderId="0" xfId="0" applyNumberFormat="1" applyAlignment="1">
      <alignment horizontal="center"/>
    </xf>
    <xf numFmtId="164" fontId="0" fillId="5" borderId="0" xfId="0" applyNumberFormat="1" applyFill="1" applyAlignment="1">
      <alignment horizontal="right"/>
    </xf>
    <xf numFmtId="0" fontId="0" fillId="5" borderId="0" xfId="0" applyFill="1" applyAlignment="1">
      <alignment horizontal="right"/>
    </xf>
    <xf numFmtId="0" fontId="0" fillId="5" borderId="0" xfId="0" applyFill="1"/>
    <xf numFmtId="0" fontId="0" fillId="4" borderId="7" xfId="0" applyFill="1" applyBorder="1"/>
    <xf numFmtId="0" fontId="0" fillId="4" borderId="8" xfId="0" applyFill="1" applyBorder="1"/>
    <xf numFmtId="0" fontId="0" fillId="3" borderId="0" xfId="0" quotePrefix="1" applyFill="1"/>
    <xf numFmtId="2" fontId="0" fillId="3" borderId="0" xfId="0" quotePrefix="1" applyNumberFormat="1" applyFill="1"/>
    <xf numFmtId="2" fontId="0" fillId="3" borderId="0" xfId="0" applyNumberFormat="1" applyFill="1"/>
    <xf numFmtId="0" fontId="11" fillId="4" borderId="0" xfId="0" applyFont="1" applyFill="1" applyAlignment="1">
      <alignment horizontal="center"/>
    </xf>
    <xf numFmtId="39" fontId="0" fillId="3" borderId="0" xfId="0" applyNumberFormat="1" applyFill="1" applyAlignment="1">
      <alignment horizontal="center"/>
    </xf>
    <xf numFmtId="0" fontId="0" fillId="3" borderId="0" xfId="0" applyFill="1" applyAlignment="1">
      <alignment horizontal="center"/>
    </xf>
    <xf numFmtId="167" fontId="0" fillId="3" borderId="0" xfId="0" applyNumberFormat="1" applyFill="1" applyAlignment="1">
      <alignment horizontal="center"/>
    </xf>
    <xf numFmtId="168" fontId="0" fillId="3" borderId="0" xfId="0" applyNumberFormat="1" applyFill="1" applyAlignment="1">
      <alignment horizontal="center"/>
    </xf>
    <xf numFmtId="0" fontId="15" fillId="3" borderId="0" xfId="0" applyFont="1" applyFill="1"/>
    <xf numFmtId="0" fontId="6" fillId="4" borderId="1" xfId="0" applyFont="1" applyFill="1" applyBorder="1" applyAlignment="1">
      <alignment horizontal="center"/>
    </xf>
    <xf numFmtId="0" fontId="19" fillId="5" borderId="0" xfId="0" applyFont="1" applyFill="1"/>
    <xf numFmtId="0" fontId="0" fillId="4" borderId="0" xfId="0" applyFill="1"/>
    <xf numFmtId="168" fontId="0" fillId="0" borderId="0" xfId="0" applyNumberFormat="1"/>
    <xf numFmtId="168" fontId="0" fillId="4" borderId="9" xfId="0" applyNumberFormat="1" applyFill="1" applyBorder="1"/>
    <xf numFmtId="168" fontId="17" fillId="6" borderId="1" xfId="0" applyNumberFormat="1" applyFont="1" applyFill="1" applyBorder="1" applyAlignment="1">
      <alignment horizontal="center"/>
    </xf>
    <xf numFmtId="0" fontId="0" fillId="5" borderId="6" xfId="0" applyFill="1" applyBorder="1" applyAlignment="1">
      <alignment horizontal="center"/>
    </xf>
    <xf numFmtId="0" fontId="16" fillId="5" borderId="0" xfId="0" applyFont="1" applyFill="1"/>
    <xf numFmtId="0" fontId="18" fillId="7" borderId="0" xfId="0" applyFont="1" applyFill="1" applyAlignment="1">
      <alignment horizontal="center"/>
    </xf>
    <xf numFmtId="0" fontId="0" fillId="7" borderId="0" xfId="0" applyFill="1"/>
    <xf numFmtId="0" fontId="20" fillId="7" borderId="0" xfId="0" applyFont="1" applyFill="1"/>
    <xf numFmtId="0" fontId="17" fillId="5" borderId="0" xfId="0" applyFont="1" applyFill="1"/>
    <xf numFmtId="0" fontId="6" fillId="5" borderId="0" xfId="0" applyFont="1" applyFill="1"/>
    <xf numFmtId="0" fontId="17" fillId="6" borderId="1" xfId="0" applyFont="1" applyFill="1" applyBorder="1" applyAlignment="1">
      <alignment horizontal="center"/>
    </xf>
    <xf numFmtId="0" fontId="0" fillId="3" borderId="9" xfId="0" applyFill="1" applyBorder="1" applyAlignment="1">
      <alignment horizontal="center"/>
    </xf>
    <xf numFmtId="0" fontId="21" fillId="3" borderId="0" xfId="0" applyFont="1" applyFill="1"/>
    <xf numFmtId="0" fontId="6" fillId="4" borderId="7" xfId="0" applyFont="1" applyFill="1" applyBorder="1"/>
    <xf numFmtId="0" fontId="3" fillId="7" borderId="0" xfId="0" applyFont="1" applyFill="1"/>
    <xf numFmtId="0" fontId="4" fillId="7" borderId="0" xfId="0" applyFont="1" applyFill="1"/>
    <xf numFmtId="0" fontId="5" fillId="7" borderId="0" xfId="0" applyFont="1" applyFill="1" applyAlignment="1">
      <alignment horizontal="left"/>
    </xf>
    <xf numFmtId="0" fontId="3" fillId="7" borderId="0" xfId="0" applyFont="1" applyFill="1" applyAlignment="1">
      <alignment horizontal="center"/>
    </xf>
    <xf numFmtId="0" fontId="6" fillId="7" borderId="0" xfId="0" applyFont="1" applyFill="1"/>
    <xf numFmtId="2" fontId="9" fillId="0" borderId="10" xfId="0" applyNumberFormat="1" applyFont="1" applyBorder="1" applyAlignment="1">
      <alignment horizontal="center"/>
    </xf>
    <xf numFmtId="168" fontId="9" fillId="0" borderId="11" xfId="0" applyNumberFormat="1" applyFont="1" applyBorder="1" applyAlignment="1">
      <alignment horizontal="center"/>
    </xf>
    <xf numFmtId="2" fontId="9" fillId="0" borderId="12" xfId="0" applyNumberFormat="1" applyFont="1" applyBorder="1" applyAlignment="1">
      <alignment horizontal="center"/>
    </xf>
    <xf numFmtId="0" fontId="22" fillId="5" borderId="0" xfId="0" applyFont="1" applyFill="1" applyAlignment="1">
      <alignment horizontal="center"/>
    </xf>
    <xf numFmtId="168" fontId="0" fillId="5" borderId="0" xfId="0" applyNumberFormat="1" applyFill="1"/>
    <xf numFmtId="167" fontId="12" fillId="3" borderId="0" xfId="0" applyNumberFormat="1" applyFont="1" applyFill="1" applyAlignment="1">
      <alignment horizontal="center"/>
    </xf>
    <xf numFmtId="0" fontId="27" fillId="5" borderId="9" xfId="0" applyFont="1" applyFill="1" applyBorder="1" applyAlignment="1">
      <alignment horizontal="center"/>
    </xf>
    <xf numFmtId="0" fontId="10" fillId="3" borderId="9" xfId="0" applyFont="1" applyFill="1" applyBorder="1" applyAlignment="1">
      <alignment horizontal="center"/>
    </xf>
    <xf numFmtId="11" fontId="10" fillId="3" borderId="9" xfId="0" applyNumberFormat="1" applyFont="1" applyFill="1" applyBorder="1" applyAlignment="1">
      <alignment horizontal="center"/>
    </xf>
    <xf numFmtId="0" fontId="28" fillId="3" borderId="9" xfId="0" applyFont="1" applyFill="1" applyBorder="1" applyAlignment="1">
      <alignment horizontal="center"/>
    </xf>
    <xf numFmtId="0" fontId="10" fillId="4" borderId="9" xfId="0" applyFont="1" applyFill="1" applyBorder="1" applyAlignment="1">
      <alignment horizontal="center"/>
    </xf>
    <xf numFmtId="0" fontId="0" fillId="4" borderId="6" xfId="0" applyFill="1" applyBorder="1" applyAlignment="1">
      <alignment horizontal="center"/>
    </xf>
    <xf numFmtId="0" fontId="6" fillId="5" borderId="10" xfId="0" applyFont="1" applyFill="1" applyBorder="1" applyAlignment="1">
      <alignment horizontal="center"/>
    </xf>
    <xf numFmtId="0" fontId="6" fillId="5" borderId="11" xfId="0" applyFont="1" applyFill="1" applyBorder="1" applyAlignment="1">
      <alignment horizontal="center"/>
    </xf>
    <xf numFmtId="0" fontId="29" fillId="6" borderId="3" xfId="0" applyFont="1" applyFill="1" applyBorder="1" applyAlignment="1">
      <alignment horizontal="center"/>
    </xf>
    <xf numFmtId="168" fontId="17" fillId="6" borderId="2" xfId="0" applyNumberFormat="1" applyFont="1" applyFill="1" applyBorder="1" applyAlignment="1">
      <alignment horizontal="center"/>
    </xf>
    <xf numFmtId="168" fontId="10" fillId="3" borderId="9" xfId="0" applyNumberFormat="1" applyFont="1" applyFill="1" applyBorder="1" applyAlignment="1">
      <alignment horizontal="center"/>
    </xf>
    <xf numFmtId="168" fontId="28" fillId="3" borderId="9" xfId="0" applyNumberFormat="1" applyFont="1" applyFill="1" applyBorder="1" applyAlignment="1">
      <alignment horizontal="center"/>
    </xf>
    <xf numFmtId="11" fontId="28" fillId="3" borderId="9" xfId="0" applyNumberFormat="1" applyFont="1" applyFill="1" applyBorder="1" applyAlignment="1">
      <alignment horizontal="center"/>
    </xf>
    <xf numFmtId="0" fontId="0" fillId="5" borderId="13" xfId="0" applyFill="1" applyBorder="1"/>
    <xf numFmtId="0" fontId="0" fillId="8" borderId="14" xfId="0" applyFill="1" applyBorder="1"/>
    <xf numFmtId="0" fontId="0" fillId="8" borderId="15" xfId="0" applyFill="1" applyBorder="1"/>
    <xf numFmtId="0" fontId="0" fillId="8" borderId="16" xfId="0" applyFill="1" applyBorder="1"/>
    <xf numFmtId="0" fontId="0" fillId="8" borderId="17" xfId="0" applyFill="1" applyBorder="1"/>
    <xf numFmtId="0" fontId="0" fillId="8" borderId="0" xfId="0" applyFill="1"/>
    <xf numFmtId="0" fontId="0" fillId="8" borderId="18" xfId="0" applyFill="1" applyBorder="1"/>
    <xf numFmtId="0" fontId="0" fillId="8" borderId="19" xfId="0" applyFill="1" applyBorder="1"/>
    <xf numFmtId="0" fontId="0" fillId="8" borderId="20" xfId="0" applyFill="1" applyBorder="1"/>
    <xf numFmtId="0" fontId="0" fillId="8" borderId="21" xfId="0" applyFill="1" applyBorder="1"/>
    <xf numFmtId="0" fontId="0" fillId="9" borderId="0" xfId="0" applyFill="1"/>
    <xf numFmtId="2" fontId="16" fillId="6" borderId="1" xfId="0" applyNumberFormat="1" applyFont="1" applyFill="1" applyBorder="1" applyAlignment="1">
      <alignment horizontal="center"/>
    </xf>
    <xf numFmtId="2" fontId="29" fillId="6" borderId="1" xfId="0" applyNumberFormat="1" applyFont="1" applyFill="1" applyBorder="1" applyAlignment="1">
      <alignment horizontal="center"/>
    </xf>
    <xf numFmtId="0" fontId="12" fillId="3" borderId="0" xfId="0" applyFont="1" applyFill="1"/>
    <xf numFmtId="0" fontId="6" fillId="5" borderId="13" xfId="0" applyFont="1" applyFill="1" applyBorder="1"/>
    <xf numFmtId="0" fontId="0" fillId="5" borderId="22" xfId="0" applyFill="1" applyBorder="1"/>
    <xf numFmtId="0" fontId="11" fillId="9" borderId="23" xfId="0" applyFont="1" applyFill="1" applyBorder="1"/>
    <xf numFmtId="0" fontId="0" fillId="9" borderId="24" xfId="0" applyFill="1" applyBorder="1"/>
    <xf numFmtId="0" fontId="0" fillId="3" borderId="23" xfId="0" applyFill="1" applyBorder="1"/>
    <xf numFmtId="0" fontId="0" fillId="3" borderId="24" xfId="0" applyFill="1" applyBorder="1" applyAlignment="1">
      <alignment horizontal="center"/>
    </xf>
    <xf numFmtId="2" fontId="0" fillId="0" borderId="0" xfId="0" applyNumberFormat="1" applyAlignment="1">
      <alignment horizontal="center"/>
    </xf>
    <xf numFmtId="0" fontId="0" fillId="3" borderId="24" xfId="0" applyFill="1" applyBorder="1"/>
    <xf numFmtId="165" fontId="0" fillId="0" borderId="0" xfId="0" applyNumberFormat="1" applyAlignment="1">
      <alignment horizontal="center"/>
    </xf>
    <xf numFmtId="2" fontId="16" fillId="3" borderId="0" xfId="0" applyNumberFormat="1" applyFont="1" applyFill="1" applyAlignment="1">
      <alignment horizontal="center"/>
    </xf>
    <xf numFmtId="0" fontId="0" fillId="9" borderId="0" xfId="0" applyFill="1" applyAlignment="1">
      <alignment horizontal="right"/>
    </xf>
    <xf numFmtId="2" fontId="16" fillId="9" borderId="0" xfId="0" applyNumberFormat="1" applyFont="1" applyFill="1" applyAlignment="1">
      <alignment horizontal="center"/>
    </xf>
    <xf numFmtId="0" fontId="0" fillId="9" borderId="24" xfId="0" applyFill="1" applyBorder="1" applyAlignment="1">
      <alignment horizontal="center"/>
    </xf>
    <xf numFmtId="165" fontId="12" fillId="0" borderId="0" xfId="0" applyNumberFormat="1" applyFont="1" applyAlignment="1">
      <alignment horizontal="center"/>
    </xf>
    <xf numFmtId="0" fontId="0" fillId="3" borderId="25" xfId="0" applyFill="1" applyBorder="1"/>
    <xf numFmtId="0" fontId="0" fillId="3" borderId="26" xfId="0" applyFill="1" applyBorder="1"/>
    <xf numFmtId="0" fontId="0" fillId="3" borderId="27" xfId="0" applyFill="1" applyBorder="1"/>
    <xf numFmtId="0" fontId="0" fillId="3" borderId="14" xfId="0" applyFill="1" applyBorder="1"/>
    <xf numFmtId="0" fontId="0" fillId="3" borderId="15" xfId="0" applyFill="1" applyBorder="1"/>
    <xf numFmtId="0" fontId="0" fillId="3" borderId="16" xfId="0" applyFill="1" applyBorder="1"/>
    <xf numFmtId="0" fontId="0" fillId="3" borderId="19" xfId="0" applyFill="1" applyBorder="1"/>
    <xf numFmtId="0" fontId="0" fillId="3" borderId="20" xfId="0" applyFill="1" applyBorder="1"/>
    <xf numFmtId="0" fontId="0" fillId="3" borderId="21" xfId="0" applyFill="1" applyBorder="1"/>
    <xf numFmtId="0" fontId="6" fillId="9" borderId="0" xfId="0" applyFont="1" applyFill="1"/>
    <xf numFmtId="0" fontId="34" fillId="3" borderId="0" xfId="0" applyFont="1" applyFill="1"/>
    <xf numFmtId="0" fontId="0" fillId="3" borderId="4" xfId="0" applyFill="1" applyBorder="1"/>
    <xf numFmtId="0" fontId="0" fillId="3" borderId="5" xfId="0" applyFill="1" applyBorder="1"/>
    <xf numFmtId="0" fontId="0" fillId="3" borderId="6" xfId="0" applyFill="1" applyBorder="1"/>
    <xf numFmtId="0" fontId="35" fillId="4" borderId="26" xfId="0" applyFont="1" applyFill="1" applyBorder="1"/>
    <xf numFmtId="0" fontId="32" fillId="4" borderId="26" xfId="0" applyFont="1" applyFill="1" applyBorder="1"/>
    <xf numFmtId="0" fontId="0" fillId="4" borderId="26" xfId="0" applyFill="1" applyBorder="1"/>
    <xf numFmtId="2" fontId="9" fillId="5" borderId="9" xfId="0" applyNumberFormat="1" applyFont="1" applyFill="1" applyBorder="1" applyAlignment="1">
      <alignment horizontal="center"/>
    </xf>
    <xf numFmtId="168" fontId="9" fillId="5" borderId="9" xfId="0" applyNumberFormat="1" applyFont="1" applyFill="1" applyBorder="1" applyAlignment="1">
      <alignment horizontal="center"/>
    </xf>
    <xf numFmtId="0" fontId="11" fillId="5" borderId="0" xfId="0" applyFont="1" applyFill="1" applyAlignment="1">
      <alignment horizontal="center"/>
    </xf>
    <xf numFmtId="0" fontId="11" fillId="5" borderId="18" xfId="0" applyFont="1" applyFill="1" applyBorder="1" applyAlignment="1">
      <alignment horizontal="center"/>
    </xf>
    <xf numFmtId="168" fontId="29" fillId="6" borderId="9" xfId="0" applyNumberFormat="1" applyFont="1" applyFill="1" applyBorder="1" applyAlignment="1">
      <alignment horizontal="center"/>
    </xf>
    <xf numFmtId="0" fontId="11" fillId="5" borderId="17" xfId="0" applyFont="1" applyFill="1" applyBorder="1" applyAlignment="1">
      <alignment horizontal="center"/>
    </xf>
    <xf numFmtId="0" fontId="14" fillId="0" borderId="0" xfId="0" applyFont="1"/>
    <xf numFmtId="166" fontId="0" fillId="0" borderId="0" xfId="0" applyNumberFormat="1"/>
    <xf numFmtId="167" fontId="0" fillId="0" borderId="0" xfId="0" applyNumberFormat="1"/>
    <xf numFmtId="2" fontId="0" fillId="0" borderId="0" xfId="0" applyNumberFormat="1"/>
    <xf numFmtId="0" fontId="7" fillId="3" borderId="0" xfId="0" applyFont="1" applyFill="1"/>
    <xf numFmtId="0" fontId="0" fillId="9" borderId="28" xfId="0" applyFill="1" applyBorder="1" applyAlignment="1">
      <alignment horizontal="center"/>
    </xf>
    <xf numFmtId="0" fontId="0" fillId="9" borderId="13" xfId="0" applyFill="1" applyBorder="1"/>
    <xf numFmtId="0" fontId="0" fillId="9" borderId="22" xfId="0" applyFill="1" applyBorder="1"/>
    <xf numFmtId="0" fontId="0" fillId="10" borderId="23" xfId="0" applyFill="1" applyBorder="1" applyAlignment="1">
      <alignment horizontal="center"/>
    </xf>
    <xf numFmtId="0" fontId="0" fillId="10" borderId="0" xfId="0" applyFill="1"/>
    <xf numFmtId="0" fontId="0" fillId="10" borderId="0" xfId="0" applyFill="1" applyAlignment="1">
      <alignment horizontal="right"/>
    </xf>
    <xf numFmtId="0" fontId="0" fillId="10" borderId="24" xfId="0" applyFill="1" applyBorder="1"/>
    <xf numFmtId="0" fontId="0" fillId="9" borderId="23" xfId="0" applyFill="1" applyBorder="1" applyAlignment="1">
      <alignment horizontal="center"/>
    </xf>
    <xf numFmtId="0" fontId="0" fillId="10" borderId="25" xfId="0" applyFill="1" applyBorder="1" applyAlignment="1">
      <alignment horizontal="center"/>
    </xf>
    <xf numFmtId="0" fontId="0" fillId="10" borderId="26" xfId="0" applyFill="1" applyBorder="1"/>
    <xf numFmtId="0" fontId="25" fillId="10" borderId="26" xfId="0" applyFont="1" applyFill="1" applyBorder="1"/>
    <xf numFmtId="0" fontId="0" fillId="10" borderId="26" xfId="0" applyFill="1" applyBorder="1" applyAlignment="1">
      <alignment horizontal="right"/>
    </xf>
    <xf numFmtId="172" fontId="25" fillId="10" borderId="26" xfId="0" applyNumberFormat="1" applyFont="1" applyFill="1" applyBorder="1" applyAlignment="1">
      <alignment horizontal="center"/>
    </xf>
    <xf numFmtId="9" fontId="25" fillId="10" borderId="26" xfId="4" applyFont="1" applyFill="1" applyBorder="1" applyAlignment="1">
      <alignment horizontal="center"/>
    </xf>
    <xf numFmtId="168" fontId="25" fillId="6" borderId="26" xfId="0" applyNumberFormat="1" applyFont="1" applyFill="1" applyBorder="1" applyAlignment="1">
      <alignment horizontal="center"/>
    </xf>
    <xf numFmtId="168" fontId="25" fillId="6" borderId="26" xfId="0" applyNumberFormat="1" applyFont="1" applyFill="1" applyBorder="1" applyAlignment="1">
      <alignment horizontal="right"/>
    </xf>
    <xf numFmtId="0" fontId="0" fillId="10" borderId="27" xfId="0" applyFill="1" applyBorder="1"/>
    <xf numFmtId="0" fontId="0" fillId="9" borderId="29" xfId="0" applyFill="1" applyBorder="1"/>
    <xf numFmtId="0" fontId="0" fillId="9" borderId="29" xfId="0" applyFill="1" applyBorder="1" applyAlignment="1">
      <alignment horizontal="right"/>
    </xf>
    <xf numFmtId="168" fontId="0" fillId="6" borderId="29" xfId="0" applyNumberFormat="1" applyFill="1" applyBorder="1" applyAlignment="1">
      <alignment horizontal="center"/>
    </xf>
    <xf numFmtId="168" fontId="0" fillId="6" borderId="29" xfId="0" applyNumberFormat="1" applyFill="1" applyBorder="1"/>
    <xf numFmtId="167" fontId="0" fillId="6" borderId="29" xfId="0" applyNumberFormat="1" applyFill="1" applyBorder="1" applyAlignment="1">
      <alignment horizontal="center"/>
    </xf>
    <xf numFmtId="0" fontId="0" fillId="9" borderId="30" xfId="0" applyFill="1" applyBorder="1"/>
    <xf numFmtId="0" fontId="0" fillId="10" borderId="31" xfId="0" applyFill="1" applyBorder="1" applyAlignment="1">
      <alignment horizontal="center"/>
    </xf>
    <xf numFmtId="0" fontId="0" fillId="10" borderId="5" xfId="0" applyFill="1" applyBorder="1"/>
    <xf numFmtId="0" fontId="25" fillId="10" borderId="5" xfId="0" applyFont="1" applyFill="1" applyBorder="1" applyAlignment="1">
      <alignment horizontal="center"/>
    </xf>
    <xf numFmtId="0" fontId="0" fillId="10" borderId="5" xfId="0" applyFill="1" applyBorder="1" applyAlignment="1">
      <alignment horizontal="right"/>
    </xf>
    <xf numFmtId="168" fontId="25" fillId="10" borderId="5" xfId="0" applyNumberFormat="1" applyFont="1" applyFill="1" applyBorder="1" applyAlignment="1">
      <alignment horizontal="center"/>
    </xf>
    <xf numFmtId="168" fontId="0" fillId="6" borderId="5" xfId="0" applyNumberFormat="1" applyFill="1" applyBorder="1" applyAlignment="1">
      <alignment horizontal="center"/>
    </xf>
    <xf numFmtId="168" fontId="0" fillId="6" borderId="5" xfId="0" applyNumberFormat="1" applyFill="1" applyBorder="1" applyAlignment="1">
      <alignment horizontal="right"/>
    </xf>
    <xf numFmtId="0" fontId="0" fillId="10" borderId="32" xfId="0" applyFill="1" applyBorder="1"/>
    <xf numFmtId="0" fontId="0" fillId="9" borderId="31" xfId="0" applyFill="1" applyBorder="1" applyAlignment="1">
      <alignment horizontal="center"/>
    </xf>
    <xf numFmtId="0" fontId="0" fillId="9" borderId="5" xfId="0" applyFill="1" applyBorder="1"/>
    <xf numFmtId="0" fontId="0" fillId="9" borderId="5" xfId="0" applyFill="1" applyBorder="1" applyAlignment="1">
      <alignment horizontal="right"/>
    </xf>
    <xf numFmtId="172" fontId="25" fillId="9" borderId="5" xfId="0" applyNumberFormat="1" applyFont="1" applyFill="1" applyBorder="1" applyAlignment="1">
      <alignment horizontal="center"/>
    </xf>
    <xf numFmtId="9" fontId="25" fillId="9" borderId="5" xfId="4" applyFont="1" applyFill="1" applyBorder="1" applyAlignment="1">
      <alignment horizontal="center"/>
    </xf>
    <xf numFmtId="0" fontId="0" fillId="9" borderId="32" xfId="0" applyFill="1" applyBorder="1"/>
    <xf numFmtId="0" fontId="0" fillId="9" borderId="20" xfId="0" applyFill="1" applyBorder="1"/>
    <xf numFmtId="0" fontId="0" fillId="9" borderId="20" xfId="0" applyFill="1" applyBorder="1" applyAlignment="1">
      <alignment horizontal="right"/>
    </xf>
    <xf numFmtId="168" fontId="25" fillId="9" borderId="20" xfId="0" applyNumberFormat="1" applyFont="1" applyFill="1" applyBorder="1" applyAlignment="1">
      <alignment horizontal="center"/>
    </xf>
    <xf numFmtId="1" fontId="1" fillId="6" borderId="20" xfId="0" applyNumberFormat="1" applyFont="1" applyFill="1" applyBorder="1" applyAlignment="1">
      <alignment horizontal="center"/>
    </xf>
    <xf numFmtId="0" fontId="0" fillId="9" borderId="20" xfId="0" applyFill="1" applyBorder="1" applyAlignment="1">
      <alignment horizontal="left"/>
    </xf>
    <xf numFmtId="0" fontId="0" fillId="9" borderId="33" xfId="0" applyFill="1" applyBorder="1" applyAlignment="1">
      <alignment horizontal="center"/>
    </xf>
    <xf numFmtId="0" fontId="25" fillId="10" borderId="26" xfId="0" applyFont="1" applyFill="1" applyBorder="1" applyAlignment="1">
      <alignment horizontal="right"/>
    </xf>
    <xf numFmtId="0" fontId="0" fillId="10" borderId="17" xfId="0" applyFill="1" applyBorder="1"/>
    <xf numFmtId="0" fontId="6" fillId="10" borderId="17" xfId="0" applyFont="1" applyFill="1" applyBorder="1"/>
    <xf numFmtId="0" fontId="0" fillId="10" borderId="34" xfId="0" applyFill="1" applyBorder="1"/>
    <xf numFmtId="0" fontId="0" fillId="10" borderId="15" xfId="0" applyFill="1" applyBorder="1"/>
    <xf numFmtId="0" fontId="0" fillId="10" borderId="16" xfId="0" applyFill="1" applyBorder="1"/>
    <xf numFmtId="0" fontId="0" fillId="10" borderId="18" xfId="0" applyFill="1" applyBorder="1"/>
    <xf numFmtId="0" fontId="0" fillId="10" borderId="35" xfId="0" applyFill="1" applyBorder="1"/>
    <xf numFmtId="0" fontId="0" fillId="6" borderId="4" xfId="0" applyFill="1" applyBorder="1" applyAlignment="1">
      <alignment horizontal="left"/>
    </xf>
    <xf numFmtId="0" fontId="0" fillId="6" borderId="6" xfId="0" applyFill="1" applyBorder="1"/>
    <xf numFmtId="0" fontId="6" fillId="11" borderId="8" xfId="0" applyFont="1" applyFill="1" applyBorder="1"/>
    <xf numFmtId="0" fontId="6" fillId="11" borderId="36" xfId="0" applyFont="1" applyFill="1" applyBorder="1"/>
    <xf numFmtId="0" fontId="7" fillId="11" borderId="4" xfId="0" applyFont="1" applyFill="1" applyBorder="1"/>
    <xf numFmtId="0" fontId="0" fillId="11" borderId="5" xfId="0" applyFill="1" applyBorder="1"/>
    <xf numFmtId="0" fontId="0" fillId="11" borderId="6" xfId="0" applyFill="1" applyBorder="1"/>
    <xf numFmtId="0" fontId="0" fillId="6" borderId="0" xfId="0" applyFill="1"/>
    <xf numFmtId="0" fontId="0" fillId="10" borderId="0" xfId="0" applyFill="1" applyAlignment="1">
      <alignment horizontal="center"/>
    </xf>
    <xf numFmtId="0" fontId="0" fillId="6" borderId="4" xfId="0" applyFill="1" applyBorder="1"/>
    <xf numFmtId="0" fontId="0" fillId="11" borderId="8" xfId="0" applyFill="1" applyBorder="1"/>
    <xf numFmtId="168" fontId="0" fillId="6" borderId="0" xfId="0" applyNumberFormat="1" applyFill="1"/>
    <xf numFmtId="0" fontId="0" fillId="9" borderId="26" xfId="0" applyFill="1" applyBorder="1"/>
    <xf numFmtId="0" fontId="0" fillId="9" borderId="27" xfId="0" applyFill="1" applyBorder="1"/>
    <xf numFmtId="0" fontId="0" fillId="9" borderId="25" xfId="0" applyFill="1" applyBorder="1" applyAlignment="1">
      <alignment horizontal="center"/>
    </xf>
    <xf numFmtId="0" fontId="0" fillId="6" borderId="13" xfId="0" applyFill="1" applyBorder="1"/>
    <xf numFmtId="0" fontId="29" fillId="10" borderId="0" xfId="0" applyFont="1" applyFill="1"/>
    <xf numFmtId="0" fontId="0" fillId="3" borderId="7" xfId="0" applyFill="1" applyBorder="1" applyAlignment="1">
      <alignment horizontal="center"/>
    </xf>
    <xf numFmtId="0" fontId="0" fillId="3" borderId="7" xfId="0" applyFill="1" applyBorder="1"/>
    <xf numFmtId="0" fontId="0" fillId="9" borderId="17" xfId="0" applyFill="1" applyBorder="1" applyAlignment="1">
      <alignment horizontal="left"/>
    </xf>
    <xf numFmtId="0" fontId="0" fillId="9" borderId="18" xfId="0" applyFill="1" applyBorder="1"/>
    <xf numFmtId="0" fontId="0" fillId="9" borderId="17" xfId="0" applyFill="1" applyBorder="1"/>
    <xf numFmtId="2" fontId="0" fillId="9" borderId="17" xfId="0" applyNumberFormat="1" applyFill="1" applyBorder="1" applyAlignment="1">
      <alignment horizontal="center"/>
    </xf>
    <xf numFmtId="0" fontId="0" fillId="9" borderId="0" xfId="0" applyFill="1" applyAlignment="1">
      <alignment horizontal="center"/>
    </xf>
    <xf numFmtId="2" fontId="0" fillId="9" borderId="18" xfId="0" applyNumberFormat="1" applyFill="1" applyBorder="1" applyAlignment="1">
      <alignment horizontal="center"/>
    </xf>
    <xf numFmtId="0" fontId="0" fillId="9" borderId="19" xfId="0" applyFill="1" applyBorder="1"/>
    <xf numFmtId="0" fontId="0" fillId="9" borderId="21" xfId="0" applyFill="1" applyBorder="1"/>
    <xf numFmtId="0" fontId="6" fillId="10" borderId="0" xfId="0" applyFont="1" applyFill="1"/>
    <xf numFmtId="0" fontId="0" fillId="10" borderId="0" xfId="0" applyFill="1" applyAlignment="1">
      <alignment horizontal="left"/>
    </xf>
    <xf numFmtId="0" fontId="12" fillId="10" borderId="0" xfId="0" applyFont="1" applyFill="1" applyAlignment="1">
      <alignment horizontal="right"/>
    </xf>
    <xf numFmtId="0" fontId="0" fillId="5" borderId="0" xfId="0" applyFill="1" applyAlignment="1">
      <alignment horizontal="center"/>
    </xf>
    <xf numFmtId="0" fontId="0" fillId="5" borderId="26" xfId="0" applyFill="1" applyBorder="1" applyAlignment="1">
      <alignment horizontal="center"/>
    </xf>
    <xf numFmtId="0" fontId="7" fillId="11" borderId="36" xfId="0" applyFont="1" applyFill="1" applyBorder="1"/>
    <xf numFmtId="0" fontId="0" fillId="11" borderId="7" xfId="0" applyFill="1" applyBorder="1"/>
    <xf numFmtId="0" fontId="21" fillId="3" borderId="0" xfId="0" applyFont="1" applyFill="1" applyAlignment="1">
      <alignment horizontal="center"/>
    </xf>
    <xf numFmtId="0" fontId="24" fillId="3" borderId="0" xfId="0" applyFont="1" applyFill="1" applyAlignment="1">
      <alignment horizontal="center"/>
    </xf>
    <xf numFmtId="0" fontId="17" fillId="6" borderId="6" xfId="0" applyFont="1" applyFill="1" applyBorder="1"/>
    <xf numFmtId="167" fontId="17" fillId="6" borderId="5" xfId="0" applyNumberFormat="1" applyFont="1" applyFill="1" applyBorder="1"/>
    <xf numFmtId="167" fontId="12" fillId="3" borderId="4" xfId="0" applyNumberFormat="1" applyFont="1" applyFill="1" applyBorder="1" applyAlignment="1">
      <alignment horizontal="center"/>
    </xf>
    <xf numFmtId="0" fontId="15" fillId="3" borderId="4" xfId="0" applyFont="1" applyFill="1" applyBorder="1"/>
    <xf numFmtId="167" fontId="9" fillId="3" borderId="4" xfId="0" applyNumberFormat="1" applyFont="1" applyFill="1" applyBorder="1" applyAlignment="1">
      <alignment horizontal="center"/>
    </xf>
    <xf numFmtId="0" fontId="25" fillId="3" borderId="6" xfId="0" applyFont="1" applyFill="1" applyBorder="1"/>
    <xf numFmtId="167" fontId="25" fillId="3" borderId="4" xfId="0" applyNumberFormat="1" applyFont="1" applyFill="1" applyBorder="1"/>
    <xf numFmtId="0" fontId="16" fillId="3" borderId="0" xfId="0" applyFont="1" applyFill="1"/>
    <xf numFmtId="0" fontId="6" fillId="11" borderId="1" xfId="0" applyFont="1" applyFill="1" applyBorder="1"/>
    <xf numFmtId="0" fontId="6" fillId="3" borderId="0" xfId="0" quotePrefix="1" applyFont="1" applyFill="1"/>
    <xf numFmtId="0" fontId="11" fillId="3" borderId="0" xfId="0" applyFont="1" applyFill="1"/>
    <xf numFmtId="0" fontId="29" fillId="3" borderId="0" xfId="0" applyFont="1" applyFill="1"/>
    <xf numFmtId="0" fontId="12" fillId="8" borderId="0" xfId="0" applyFont="1" applyFill="1" applyAlignment="1">
      <alignment horizontal="left"/>
    </xf>
    <xf numFmtId="0" fontId="0" fillId="10" borderId="19" xfId="0" applyFill="1" applyBorder="1"/>
    <xf numFmtId="0" fontId="0" fillId="10" borderId="20" xfId="0" applyFill="1" applyBorder="1"/>
    <xf numFmtId="0" fontId="0" fillId="10" borderId="21" xfId="0" applyFill="1" applyBorder="1"/>
    <xf numFmtId="0" fontId="0" fillId="3" borderId="18" xfId="0" applyFill="1" applyBorder="1"/>
    <xf numFmtId="0" fontId="40" fillId="4" borderId="26" xfId="0" applyFont="1" applyFill="1" applyBorder="1"/>
    <xf numFmtId="0" fontId="41" fillId="4" borderId="26" xfId="0" applyFont="1" applyFill="1" applyBorder="1"/>
    <xf numFmtId="0" fontId="0" fillId="6" borderId="9" xfId="0" applyFill="1" applyBorder="1" applyAlignment="1">
      <alignment horizontal="center"/>
    </xf>
    <xf numFmtId="166" fontId="0" fillId="6" borderId="9" xfId="0" applyNumberFormat="1" applyFill="1" applyBorder="1" applyAlignment="1">
      <alignment horizontal="center"/>
    </xf>
    <xf numFmtId="0" fontId="1" fillId="6" borderId="9" xfId="0" applyFont="1" applyFill="1" applyBorder="1" applyAlignment="1">
      <alignment horizontal="center"/>
    </xf>
    <xf numFmtId="166" fontId="1" fillId="6" borderId="9" xfId="0" applyNumberFormat="1" applyFont="1" applyFill="1" applyBorder="1" applyAlignment="1">
      <alignment horizontal="center"/>
    </xf>
    <xf numFmtId="0" fontId="0" fillId="8" borderId="0" xfId="0" applyFill="1" applyAlignment="1">
      <alignment horizontal="center"/>
    </xf>
    <xf numFmtId="0" fontId="29" fillId="8" borderId="0" xfId="0" applyFont="1" applyFill="1"/>
    <xf numFmtId="0" fontId="6" fillId="11" borderId="4" xfId="0" applyFont="1" applyFill="1" applyBorder="1"/>
    <xf numFmtId="0" fontId="6" fillId="11" borderId="6" xfId="0" applyFont="1" applyFill="1" applyBorder="1"/>
    <xf numFmtId="0" fontId="0" fillId="4" borderId="36" xfId="0" applyFill="1" applyBorder="1"/>
    <xf numFmtId="0" fontId="6" fillId="4" borderId="7" xfId="0" applyFont="1" applyFill="1" applyBorder="1" applyAlignment="1">
      <alignment horizontal="center"/>
    </xf>
    <xf numFmtId="0" fontId="6" fillId="8" borderId="0" xfId="0" applyFont="1" applyFill="1"/>
    <xf numFmtId="167" fontId="6" fillId="8" borderId="0" xfId="0" applyNumberFormat="1" applyFont="1" applyFill="1"/>
    <xf numFmtId="2" fontId="6" fillId="8" borderId="17" xfId="0" applyNumberFormat="1" applyFont="1" applyFill="1" applyBorder="1"/>
    <xf numFmtId="168" fontId="6" fillId="8" borderId="17" xfId="0" applyNumberFormat="1" applyFont="1" applyFill="1" applyBorder="1"/>
    <xf numFmtId="2" fontId="17" fillId="12" borderId="17" xfId="0" applyNumberFormat="1" applyFont="1" applyFill="1" applyBorder="1"/>
    <xf numFmtId="0" fontId="11" fillId="13" borderId="0" xfId="0" applyFont="1" applyFill="1"/>
    <xf numFmtId="0" fontId="0" fillId="13" borderId="18" xfId="0" applyFill="1" applyBorder="1"/>
    <xf numFmtId="168" fontId="6" fillId="14" borderId="17" xfId="0" applyNumberFormat="1" applyFont="1" applyFill="1" applyBorder="1"/>
    <xf numFmtId="168" fontId="6" fillId="6" borderId="17" xfId="0" applyNumberFormat="1" applyFont="1" applyFill="1" applyBorder="1"/>
    <xf numFmtId="0" fontId="11" fillId="6" borderId="0" xfId="0" applyFont="1" applyFill="1"/>
    <xf numFmtId="0" fontId="0" fillId="6" borderId="18" xfId="0" applyFill="1" applyBorder="1"/>
    <xf numFmtId="166" fontId="6" fillId="8" borderId="0" xfId="0" applyNumberFormat="1" applyFont="1" applyFill="1"/>
    <xf numFmtId="0" fontId="11" fillId="8" borderId="0" xfId="0" applyFont="1" applyFill="1"/>
    <xf numFmtId="0" fontId="25" fillId="5" borderId="9" xfId="0" applyFont="1" applyFill="1" applyBorder="1" applyAlignment="1">
      <alignment horizontal="center"/>
    </xf>
    <xf numFmtId="0" fontId="0" fillId="9" borderId="37" xfId="0" applyFill="1" applyBorder="1"/>
    <xf numFmtId="0" fontId="0" fillId="10" borderId="6" xfId="0" applyFill="1" applyBorder="1"/>
    <xf numFmtId="0" fontId="0" fillId="9" borderId="6" xfId="0" applyFill="1" applyBorder="1"/>
    <xf numFmtId="0" fontId="0" fillId="9" borderId="37" xfId="0" applyFill="1" applyBorder="1" applyAlignment="1">
      <alignment horizontal="right"/>
    </xf>
    <xf numFmtId="0" fontId="0" fillId="9" borderId="38" xfId="0" applyFill="1" applyBorder="1" applyAlignment="1">
      <alignment horizontal="center"/>
    </xf>
    <xf numFmtId="0" fontId="0" fillId="10" borderId="39" xfId="0" applyFill="1" applyBorder="1" applyAlignment="1">
      <alignment horizontal="center"/>
    </xf>
    <xf numFmtId="0" fontId="0" fillId="9" borderId="39" xfId="0" applyFill="1" applyBorder="1" applyAlignment="1">
      <alignment horizontal="center"/>
    </xf>
    <xf numFmtId="0" fontId="5" fillId="11" borderId="4" xfId="0" applyFont="1" applyFill="1" applyBorder="1"/>
    <xf numFmtId="168" fontId="0" fillId="9" borderId="29" xfId="0" applyNumberFormat="1" applyFill="1" applyBorder="1"/>
    <xf numFmtId="168" fontId="0" fillId="9" borderId="5" xfId="0" applyNumberFormat="1" applyFill="1" applyBorder="1" applyAlignment="1">
      <alignment horizontal="right"/>
    </xf>
    <xf numFmtId="168" fontId="0" fillId="10" borderId="5" xfId="0" applyNumberFormat="1" applyFill="1" applyBorder="1" applyAlignment="1">
      <alignment horizontal="right"/>
    </xf>
    <xf numFmtId="168" fontId="0" fillId="10" borderId="9" xfId="0" applyNumberFormat="1" applyFill="1" applyBorder="1" applyAlignment="1">
      <alignment horizontal="center"/>
    </xf>
    <xf numFmtId="168" fontId="0" fillId="9" borderId="40" xfId="0" applyNumberFormat="1" applyFill="1" applyBorder="1" applyAlignment="1">
      <alignment horizontal="center"/>
    </xf>
    <xf numFmtId="168" fontId="0" fillId="9" borderId="9" xfId="0" applyNumberFormat="1" applyFill="1" applyBorder="1" applyAlignment="1">
      <alignment horizontal="center"/>
    </xf>
    <xf numFmtId="0" fontId="1" fillId="0" borderId="36" xfId="0" applyFont="1" applyBorder="1" applyAlignment="1">
      <alignment horizontal="center"/>
    </xf>
    <xf numFmtId="0" fontId="1" fillId="0" borderId="9" xfId="0" applyFont="1" applyBorder="1" applyAlignment="1">
      <alignment horizontal="center"/>
    </xf>
    <xf numFmtId="0" fontId="0" fillId="10" borderId="41" xfId="0" applyFill="1" applyBorder="1" applyAlignment="1">
      <alignment horizontal="center"/>
    </xf>
    <xf numFmtId="168" fontId="1" fillId="10" borderId="11" xfId="0" applyNumberFormat="1" applyFont="1" applyFill="1" applyBorder="1" applyAlignment="1">
      <alignment horizontal="center"/>
    </xf>
    <xf numFmtId="168" fontId="1" fillId="10" borderId="0" xfId="0" applyNumberFormat="1" applyFont="1" applyFill="1" applyAlignment="1">
      <alignment horizontal="right"/>
    </xf>
    <xf numFmtId="0" fontId="0" fillId="10" borderId="42" xfId="0" applyFill="1" applyBorder="1"/>
    <xf numFmtId="168" fontId="0" fillId="6" borderId="4" xfId="0" applyNumberFormat="1" applyFill="1" applyBorder="1"/>
    <xf numFmtId="0" fontId="25" fillId="5" borderId="4" xfId="0" applyFont="1" applyFill="1" applyBorder="1"/>
    <xf numFmtId="0" fontId="25" fillId="5" borderId="6" xfId="0" applyFont="1" applyFill="1" applyBorder="1"/>
    <xf numFmtId="0" fontId="25" fillId="9" borderId="26" xfId="0" applyFont="1" applyFill="1" applyBorder="1" applyAlignment="1">
      <alignment horizontal="left"/>
    </xf>
    <xf numFmtId="0" fontId="35" fillId="8" borderId="0" xfId="0" applyFont="1" applyFill="1"/>
    <xf numFmtId="0" fontId="0" fillId="8" borderId="43" xfId="0" applyFill="1" applyBorder="1"/>
    <xf numFmtId="0" fontId="0" fillId="4" borderId="35" xfId="0" applyFill="1" applyBorder="1"/>
    <xf numFmtId="0" fontId="0" fillId="15" borderId="14" xfId="0" applyFill="1" applyBorder="1"/>
    <xf numFmtId="0" fontId="0" fillId="15" borderId="15" xfId="0" applyFill="1" applyBorder="1"/>
    <xf numFmtId="0" fontId="0" fillId="15" borderId="16" xfId="0" applyFill="1" applyBorder="1"/>
    <xf numFmtId="0" fontId="0" fillId="15" borderId="17" xfId="0" applyFill="1" applyBorder="1"/>
    <xf numFmtId="0" fontId="6" fillId="15" borderId="0" xfId="0" applyFont="1" applyFill="1"/>
    <xf numFmtId="0" fontId="0" fillId="15" borderId="0" xfId="0" applyFill="1"/>
    <xf numFmtId="0" fontId="0" fillId="15" borderId="19" xfId="0" applyFill="1" applyBorder="1"/>
    <xf numFmtId="0" fontId="0" fillId="15" borderId="20" xfId="0" applyFill="1" applyBorder="1"/>
    <xf numFmtId="0" fontId="0" fillId="15" borderId="21" xfId="0" applyFill="1" applyBorder="1"/>
    <xf numFmtId="168" fontId="0" fillId="9" borderId="0" xfId="0" applyNumberFormat="1" applyFill="1"/>
    <xf numFmtId="168" fontId="0" fillId="10" borderId="0" xfId="0" applyNumberFormat="1" applyFill="1"/>
    <xf numFmtId="168" fontId="1" fillId="9" borderId="26" xfId="0" applyNumberFormat="1" applyFont="1" applyFill="1" applyBorder="1" applyAlignment="1">
      <alignment horizontal="right"/>
    </xf>
    <xf numFmtId="0" fontId="1" fillId="9" borderId="26" xfId="0" applyFont="1" applyFill="1" applyBorder="1"/>
    <xf numFmtId="0" fontId="0" fillId="6" borderId="32" xfId="0" applyFill="1" applyBorder="1"/>
    <xf numFmtId="0" fontId="0" fillId="15" borderId="28" xfId="0" applyFill="1" applyBorder="1" applyAlignment="1">
      <alignment horizontal="center"/>
    </xf>
    <xf numFmtId="0" fontId="0" fillId="15" borderId="13" xfId="0" applyFill="1" applyBorder="1"/>
    <xf numFmtId="0" fontId="0" fillId="15" borderId="22" xfId="0" applyFill="1" applyBorder="1"/>
    <xf numFmtId="0" fontId="0" fillId="15" borderId="23" xfId="0" applyFill="1" applyBorder="1"/>
    <xf numFmtId="0" fontId="6" fillId="15" borderId="0" xfId="0" applyFont="1" applyFill="1" applyAlignment="1">
      <alignment horizontal="left"/>
    </xf>
    <xf numFmtId="0" fontId="0" fillId="15" borderId="24" xfId="0" applyFill="1" applyBorder="1"/>
    <xf numFmtId="0" fontId="0" fillId="15" borderId="25" xfId="0" applyFill="1" applyBorder="1"/>
    <xf numFmtId="0" fontId="0" fillId="15" borderId="26" xfId="0" applyFill="1" applyBorder="1"/>
    <xf numFmtId="0" fontId="0" fillId="15" borderId="27" xfId="0" applyFill="1" applyBorder="1"/>
    <xf numFmtId="0" fontId="0" fillId="6" borderId="5" xfId="0" applyFill="1" applyBorder="1"/>
    <xf numFmtId="0" fontId="0" fillId="15" borderId="26" xfId="0" applyFill="1" applyBorder="1" applyAlignment="1">
      <alignment horizontal="left" indent="1"/>
    </xf>
    <xf numFmtId="0" fontId="1" fillId="0" borderId="1" xfId="0" applyFont="1" applyBorder="1" applyAlignment="1">
      <alignment horizontal="left" indent="2"/>
    </xf>
    <xf numFmtId="168" fontId="0" fillId="10" borderId="17" xfId="0" applyNumberFormat="1" applyFill="1" applyBorder="1"/>
    <xf numFmtId="168" fontId="0" fillId="10" borderId="19" xfId="0" applyNumberFormat="1" applyFill="1" applyBorder="1"/>
    <xf numFmtId="0" fontId="0" fillId="10" borderId="14" xfId="0" applyFill="1" applyBorder="1"/>
    <xf numFmtId="1" fontId="25" fillId="5" borderId="4" xfId="0" applyNumberFormat="1" applyFont="1" applyFill="1" applyBorder="1"/>
    <xf numFmtId="168" fontId="0" fillId="16" borderId="17" xfId="0" applyNumberFormat="1" applyFill="1" applyBorder="1"/>
    <xf numFmtId="0" fontId="0" fillId="16" borderId="18" xfId="0" applyFill="1" applyBorder="1"/>
    <xf numFmtId="0" fontId="9" fillId="10" borderId="17" xfId="0" applyFont="1" applyFill="1" applyBorder="1"/>
    <xf numFmtId="0" fontId="9" fillId="10" borderId="18" xfId="0" applyFont="1" applyFill="1" applyBorder="1"/>
    <xf numFmtId="0" fontId="12" fillId="10" borderId="0" xfId="0" applyFont="1" applyFill="1"/>
    <xf numFmtId="2" fontId="1" fillId="6" borderId="9" xfId="0" applyNumberFormat="1" applyFont="1" applyFill="1" applyBorder="1" applyAlignment="1">
      <alignment horizontal="center"/>
    </xf>
    <xf numFmtId="2" fontId="0" fillId="6" borderId="9" xfId="0" applyNumberFormat="1" applyFill="1" applyBorder="1" applyAlignment="1">
      <alignment horizontal="center"/>
    </xf>
    <xf numFmtId="0" fontId="25" fillId="10" borderId="0" xfId="0" applyFont="1" applyFill="1" applyAlignment="1">
      <alignment horizontal="center"/>
    </xf>
    <xf numFmtId="173" fontId="25" fillId="10" borderId="0" xfId="0" applyNumberFormat="1" applyFont="1" applyFill="1" applyAlignment="1">
      <alignment horizontal="center"/>
    </xf>
    <xf numFmtId="0" fontId="25" fillId="10" borderId="0" xfId="0" applyFont="1" applyFill="1"/>
    <xf numFmtId="0" fontId="0" fillId="16" borderId="14" xfId="0" applyFill="1" applyBorder="1"/>
    <xf numFmtId="0" fontId="0" fillId="16" borderId="15" xfId="0" applyFill="1" applyBorder="1"/>
    <xf numFmtId="0" fontId="0" fillId="16" borderId="16" xfId="0" applyFill="1" applyBorder="1"/>
    <xf numFmtId="0" fontId="0" fillId="16" borderId="17" xfId="0" applyFill="1" applyBorder="1"/>
    <xf numFmtId="0" fontId="0" fillId="16" borderId="0" xfId="0" applyFill="1"/>
    <xf numFmtId="0" fontId="25" fillId="16" borderId="0" xfId="0" applyFont="1" applyFill="1" applyAlignment="1">
      <alignment horizontal="center"/>
    </xf>
    <xf numFmtId="0" fontId="0" fillId="16" borderId="0" xfId="0" applyFill="1" applyAlignment="1">
      <alignment horizontal="center"/>
    </xf>
    <xf numFmtId="0" fontId="0" fillId="16" borderId="0" xfId="0" applyFill="1" applyAlignment="1">
      <alignment horizontal="right"/>
    </xf>
    <xf numFmtId="173" fontId="25" fillId="16" borderId="0" xfId="0" applyNumberFormat="1" applyFont="1" applyFill="1" applyAlignment="1">
      <alignment horizontal="center"/>
    </xf>
    <xf numFmtId="0" fontId="25" fillId="16" borderId="0" xfId="0" applyFont="1" applyFill="1"/>
    <xf numFmtId="2" fontId="1" fillId="16" borderId="20" xfId="0" applyNumberFormat="1" applyFont="1" applyFill="1" applyBorder="1" applyAlignment="1">
      <alignment horizontal="center"/>
    </xf>
    <xf numFmtId="0" fontId="0" fillId="16" borderId="19" xfId="0" applyFill="1" applyBorder="1"/>
    <xf numFmtId="0" fontId="0" fillId="16" borderId="20" xfId="0" applyFill="1" applyBorder="1"/>
    <xf numFmtId="0" fontId="0" fillId="16" borderId="21" xfId="0" applyFill="1" applyBorder="1"/>
    <xf numFmtId="2" fontId="1" fillId="10" borderId="0" xfId="0" applyNumberFormat="1" applyFont="1" applyFill="1" applyAlignment="1">
      <alignment horizontal="center"/>
    </xf>
    <xf numFmtId="2" fontId="29" fillId="6" borderId="9" xfId="0" applyNumberFormat="1" applyFont="1" applyFill="1" applyBorder="1" applyAlignment="1">
      <alignment horizontal="center"/>
    </xf>
    <xf numFmtId="2" fontId="25" fillId="5" borderId="9" xfId="0" applyNumberFormat="1" applyFont="1" applyFill="1" applyBorder="1" applyAlignment="1">
      <alignment horizontal="center"/>
    </xf>
    <xf numFmtId="168" fontId="25" fillId="5" borderId="9" xfId="0" applyNumberFormat="1" applyFont="1" applyFill="1" applyBorder="1" applyAlignment="1">
      <alignment horizontal="center"/>
    </xf>
    <xf numFmtId="0" fontId="6" fillId="16" borderId="17" xfId="0" applyFont="1" applyFill="1" applyBorder="1"/>
    <xf numFmtId="0" fontId="25" fillId="5" borderId="9" xfId="0" applyFont="1" applyFill="1" applyBorder="1"/>
    <xf numFmtId="168" fontId="25" fillId="5" borderId="9" xfId="0" applyNumberFormat="1" applyFont="1" applyFill="1" applyBorder="1"/>
    <xf numFmtId="0" fontId="29" fillId="6" borderId="9" xfId="0" applyFont="1" applyFill="1" applyBorder="1" applyAlignment="1">
      <alignment horizontal="center"/>
    </xf>
    <xf numFmtId="166" fontId="29" fillId="6" borderId="9" xfId="0" applyNumberFormat="1" applyFont="1" applyFill="1" applyBorder="1" applyAlignment="1">
      <alignment horizontal="center"/>
    </xf>
    <xf numFmtId="168" fontId="0" fillId="4" borderId="9" xfId="0" applyNumberFormat="1" applyFill="1" applyBorder="1" applyAlignment="1">
      <alignment horizontal="center"/>
    </xf>
    <xf numFmtId="0" fontId="15" fillId="16" borderId="0" xfId="0" quotePrefix="1" applyFont="1" applyFill="1"/>
    <xf numFmtId="0" fontId="26" fillId="16" borderId="0" xfId="0" applyFont="1" applyFill="1"/>
    <xf numFmtId="0" fontId="0" fillId="16" borderId="0" xfId="0" quotePrefix="1" applyFill="1"/>
    <xf numFmtId="0" fontId="13" fillId="16" borderId="0" xfId="0" quotePrefix="1" applyFont="1" applyFill="1"/>
    <xf numFmtId="0" fontId="12" fillId="16" borderId="0" xfId="0" applyFont="1" applyFill="1"/>
    <xf numFmtId="168" fontId="0" fillId="16" borderId="0" xfId="0" applyNumberFormat="1" applyFill="1"/>
    <xf numFmtId="0" fontId="6" fillId="16" borderId="14" xfId="0" applyFont="1" applyFill="1" applyBorder="1"/>
    <xf numFmtId="0" fontId="13" fillId="16" borderId="0" xfId="0" applyFont="1" applyFill="1"/>
    <xf numFmtId="0" fontId="17" fillId="16" borderId="0" xfId="0" applyFont="1" applyFill="1"/>
    <xf numFmtId="168" fontId="17" fillId="6" borderId="9" xfId="0" applyNumberFormat="1" applyFont="1" applyFill="1" applyBorder="1" applyAlignment="1">
      <alignment horizontal="center"/>
    </xf>
    <xf numFmtId="2" fontId="0" fillId="4" borderId="9" xfId="0" applyNumberFormat="1" applyFill="1" applyBorder="1" applyAlignment="1">
      <alignment horizontal="center"/>
    </xf>
    <xf numFmtId="0" fontId="6" fillId="15" borderId="14" xfId="0" applyFont="1" applyFill="1" applyBorder="1"/>
    <xf numFmtId="0" fontId="0" fillId="15" borderId="18" xfId="0" applyFill="1" applyBorder="1"/>
    <xf numFmtId="0" fontId="0" fillId="15" borderId="0" xfId="0" applyFill="1" applyAlignment="1">
      <alignment horizontal="center"/>
    </xf>
    <xf numFmtId="0" fontId="0" fillId="15" borderId="0" xfId="0" applyFill="1" applyAlignment="1">
      <alignment horizontal="right"/>
    </xf>
    <xf numFmtId="0" fontId="29" fillId="15" borderId="0" xfId="0" applyFont="1" applyFill="1"/>
    <xf numFmtId="0" fontId="29" fillId="15" borderId="0" xfId="0" applyFont="1" applyFill="1" applyAlignment="1">
      <alignment horizontal="center"/>
    </xf>
    <xf numFmtId="0" fontId="6" fillId="10" borderId="14" xfId="0" applyFont="1" applyFill="1" applyBorder="1"/>
    <xf numFmtId="0" fontId="15" fillId="10" borderId="0" xfId="0" quotePrefix="1" applyFont="1" applyFill="1"/>
    <xf numFmtId="0" fontId="26" fillId="10" borderId="0" xfId="0" applyFont="1" applyFill="1"/>
    <xf numFmtId="0" fontId="0" fillId="10" borderId="0" xfId="0" quotePrefix="1" applyFill="1"/>
    <xf numFmtId="0" fontId="13" fillId="10" borderId="0" xfId="0" quotePrefix="1" applyFont="1" applyFill="1"/>
    <xf numFmtId="0" fontId="13" fillId="10" borderId="0" xfId="0" applyFont="1" applyFill="1"/>
    <xf numFmtId="0" fontId="17" fillId="10" borderId="0" xfId="0" applyFont="1" applyFill="1"/>
    <xf numFmtId="0" fontId="1" fillId="16" borderId="0" xfId="0" applyFont="1" applyFill="1"/>
    <xf numFmtId="168" fontId="1" fillId="10" borderId="0" xfId="0" applyNumberFormat="1" applyFont="1" applyFill="1"/>
    <xf numFmtId="0" fontId="0" fillId="5" borderId="6" xfId="0" applyFill="1" applyBorder="1"/>
    <xf numFmtId="0" fontId="6" fillId="15" borderId="15" xfId="0" applyFont="1" applyFill="1" applyBorder="1"/>
    <xf numFmtId="168" fontId="25" fillId="5" borderId="4" xfId="0" applyNumberFormat="1" applyFont="1" applyFill="1" applyBorder="1"/>
    <xf numFmtId="0" fontId="0" fillId="6" borderId="6" xfId="0" applyFill="1" applyBorder="1" applyAlignment="1">
      <alignment horizontal="center"/>
    </xf>
    <xf numFmtId="1" fontId="29" fillId="6" borderId="4" xfId="0" applyNumberFormat="1" applyFont="1" applyFill="1" applyBorder="1"/>
    <xf numFmtId="0" fontId="1" fillId="6" borderId="6" xfId="0" applyFont="1" applyFill="1" applyBorder="1" applyAlignment="1">
      <alignment horizontal="center"/>
    </xf>
    <xf numFmtId="0" fontId="0" fillId="14" borderId="6" xfId="0" applyFill="1" applyBorder="1" applyAlignment="1">
      <alignment horizontal="center"/>
    </xf>
    <xf numFmtId="1" fontId="17" fillId="14" borderId="4" xfId="0" applyNumberFormat="1" applyFont="1" applyFill="1" applyBorder="1"/>
    <xf numFmtId="0" fontId="26" fillId="15" borderId="0" xfId="0" applyFont="1" applyFill="1"/>
    <xf numFmtId="1" fontId="17" fillId="6" borderId="9" xfId="0" applyNumberFormat="1" applyFont="1" applyFill="1" applyBorder="1" applyAlignment="1">
      <alignment horizontal="center"/>
    </xf>
    <xf numFmtId="167" fontId="0" fillId="6" borderId="5" xfId="0" applyNumberFormat="1" applyFill="1" applyBorder="1" applyAlignment="1">
      <alignment horizontal="center"/>
    </xf>
    <xf numFmtId="0" fontId="0" fillId="10" borderId="5" xfId="0" applyFill="1" applyBorder="1" applyAlignment="1">
      <alignment horizontal="left"/>
    </xf>
    <xf numFmtId="0" fontId="6" fillId="5" borderId="28" xfId="0" applyFont="1" applyFill="1" applyBorder="1"/>
    <xf numFmtId="0" fontId="49" fillId="4" borderId="36" xfId="0" applyFont="1" applyFill="1" applyBorder="1"/>
    <xf numFmtId="0" fontId="9" fillId="5" borderId="12" xfId="0" applyFont="1" applyFill="1" applyBorder="1" applyAlignment="1">
      <alignment horizontal="center"/>
    </xf>
    <xf numFmtId="3" fontId="9" fillId="5" borderId="9" xfId="0" applyNumberFormat="1" applyFont="1" applyFill="1" applyBorder="1" applyAlignment="1">
      <alignment horizontal="center"/>
    </xf>
    <xf numFmtId="0" fontId="9" fillId="5" borderId="9" xfId="0" applyFont="1" applyFill="1" applyBorder="1" applyAlignment="1">
      <alignment horizontal="center"/>
    </xf>
    <xf numFmtId="168" fontId="8" fillId="5" borderId="9" xfId="0" applyNumberFormat="1" applyFont="1" applyFill="1" applyBorder="1" applyAlignment="1">
      <alignment horizontal="center"/>
    </xf>
    <xf numFmtId="0" fontId="8" fillId="5" borderId="1" xfId="0" applyFont="1" applyFill="1" applyBorder="1" applyAlignment="1">
      <alignment horizontal="center"/>
    </xf>
    <xf numFmtId="0" fontId="17" fillId="6" borderId="4" xfId="0" applyFont="1" applyFill="1" applyBorder="1"/>
    <xf numFmtId="0" fontId="1" fillId="5" borderId="26" xfId="0" applyFont="1" applyFill="1" applyBorder="1" applyAlignment="1">
      <alignment horizontal="center"/>
    </xf>
    <xf numFmtId="0" fontId="17" fillId="6" borderId="9" xfId="0" applyFont="1" applyFill="1" applyBorder="1" applyAlignment="1">
      <alignment horizontal="center"/>
    </xf>
    <xf numFmtId="0" fontId="12" fillId="10" borderId="17" xfId="0" applyFont="1" applyFill="1" applyBorder="1"/>
    <xf numFmtId="0" fontId="5" fillId="4" borderId="0" xfId="0" applyFont="1" applyFill="1"/>
    <xf numFmtId="0" fontId="0" fillId="8" borderId="17" xfId="0" applyFill="1" applyBorder="1" applyAlignment="1">
      <alignment horizontal="center"/>
    </xf>
    <xf numFmtId="0" fontId="0" fillId="6" borderId="1" xfId="0" applyFill="1" applyBorder="1" applyAlignment="1">
      <alignment horizontal="center"/>
    </xf>
    <xf numFmtId="2" fontId="0" fillId="10" borderId="4" xfId="0" applyNumberFormat="1" applyFill="1" applyBorder="1"/>
    <xf numFmtId="0" fontId="0" fillId="4" borderId="44" xfId="0" applyFill="1" applyBorder="1"/>
    <xf numFmtId="0" fontId="0" fillId="16" borderId="9" xfId="0" applyFill="1" applyBorder="1" applyAlignment="1">
      <alignment wrapText="1"/>
    </xf>
    <xf numFmtId="0" fontId="0" fillId="10" borderId="9" xfId="0" applyFill="1" applyBorder="1" applyAlignment="1">
      <alignment wrapText="1"/>
    </xf>
    <xf numFmtId="0" fontId="0" fillId="16" borderId="12" xfId="0" applyFill="1" applyBorder="1" applyAlignment="1">
      <alignment wrapText="1"/>
    </xf>
    <xf numFmtId="0" fontId="0" fillId="10" borderId="2" xfId="0" applyFill="1" applyBorder="1" applyAlignment="1">
      <alignment horizontal="center"/>
    </xf>
    <xf numFmtId="0" fontId="0" fillId="10" borderId="3" xfId="0" applyFill="1" applyBorder="1"/>
    <xf numFmtId="0" fontId="0" fillId="4" borderId="26" xfId="0" applyFill="1" applyBorder="1" applyAlignment="1">
      <alignment horizontal="center"/>
    </xf>
    <xf numFmtId="168" fontId="1" fillId="9" borderId="17" xfId="0" applyNumberFormat="1" applyFont="1" applyFill="1" applyBorder="1"/>
    <xf numFmtId="168" fontId="0" fillId="6" borderId="9" xfId="0" applyNumberFormat="1" applyFill="1" applyBorder="1" applyAlignment="1">
      <alignment horizontal="center"/>
    </xf>
    <xf numFmtId="0" fontId="0" fillId="11" borderId="17" xfId="0" applyFill="1" applyBorder="1"/>
    <xf numFmtId="0" fontId="0" fillId="17" borderId="5" xfId="0" applyFill="1" applyBorder="1"/>
    <xf numFmtId="0" fontId="0" fillId="3" borderId="17" xfId="0" applyFill="1" applyBorder="1"/>
    <xf numFmtId="0" fontId="0" fillId="17" borderId="5" xfId="0" applyFill="1" applyBorder="1" applyAlignment="1">
      <alignment horizontal="center"/>
    </xf>
    <xf numFmtId="0" fontId="25" fillId="5" borderId="5" xfId="0" applyFont="1" applyFill="1" applyBorder="1" applyAlignment="1">
      <alignment horizontal="center"/>
    </xf>
    <xf numFmtId="0" fontId="0" fillId="17" borderId="9" xfId="0" applyFill="1" applyBorder="1" applyAlignment="1">
      <alignment horizontal="center"/>
    </xf>
    <xf numFmtId="0" fontId="6" fillId="4" borderId="4" xfId="0" applyFont="1" applyFill="1" applyBorder="1"/>
    <xf numFmtId="0" fontId="6" fillId="4" borderId="5" xfId="0" applyFont="1" applyFill="1" applyBorder="1"/>
    <xf numFmtId="0" fontId="0" fillId="4" borderId="6" xfId="0" applyFill="1" applyBorder="1"/>
    <xf numFmtId="0" fontId="0" fillId="4" borderId="5" xfId="0" applyFill="1" applyBorder="1"/>
    <xf numFmtId="173" fontId="29" fillId="6" borderId="12" xfId="0" applyNumberFormat="1" applyFont="1" applyFill="1" applyBorder="1" applyAlignment="1">
      <alignment horizontal="center"/>
    </xf>
    <xf numFmtId="0" fontId="1" fillId="3" borderId="4" xfId="0" applyFont="1" applyFill="1" applyBorder="1"/>
    <xf numFmtId="0" fontId="1" fillId="3" borderId="5" xfId="0" applyFont="1" applyFill="1" applyBorder="1"/>
    <xf numFmtId="168" fontId="29" fillId="4" borderId="9" xfId="0" applyNumberFormat="1" applyFont="1" applyFill="1" applyBorder="1" applyAlignment="1">
      <alignment horizontal="center"/>
    </xf>
    <xf numFmtId="170" fontId="12" fillId="15" borderId="9" xfId="0" applyNumberFormat="1" applyFont="1" applyFill="1" applyBorder="1" applyAlignment="1">
      <alignment horizontal="center"/>
    </xf>
    <xf numFmtId="0" fontId="16" fillId="4" borderId="9" xfId="0" applyFont="1" applyFill="1" applyBorder="1" applyAlignment="1">
      <alignment horizontal="center"/>
    </xf>
    <xf numFmtId="0" fontId="0" fillId="4" borderId="4" xfId="0" applyFill="1" applyBorder="1"/>
    <xf numFmtId="0" fontId="34" fillId="10" borderId="0" xfId="0" applyFont="1" applyFill="1"/>
    <xf numFmtId="0" fontId="37" fillId="10" borderId="0" xfId="0" applyFont="1" applyFill="1" applyAlignment="1">
      <alignment horizontal="center"/>
    </xf>
    <xf numFmtId="0" fontId="12" fillId="10" borderId="0" xfId="0" applyFont="1" applyFill="1" applyAlignment="1">
      <alignment horizontal="left"/>
    </xf>
    <xf numFmtId="0" fontId="12" fillId="9" borderId="0" xfId="0" applyFont="1" applyFill="1" applyAlignment="1">
      <alignment horizontal="left"/>
    </xf>
    <xf numFmtId="168" fontId="12" fillId="9" borderId="0" xfId="0" applyNumberFormat="1" applyFont="1" applyFill="1"/>
    <xf numFmtId="0" fontId="12" fillId="9" borderId="0" xfId="0" applyFont="1" applyFill="1"/>
    <xf numFmtId="168" fontId="9" fillId="9" borderId="0" xfId="0" applyNumberFormat="1" applyFont="1" applyFill="1"/>
    <xf numFmtId="1" fontId="0" fillId="9" borderId="0" xfId="0" applyNumberFormat="1" applyFill="1"/>
    <xf numFmtId="168" fontId="29" fillId="9" borderId="0" xfId="0" applyNumberFormat="1" applyFont="1" applyFill="1"/>
    <xf numFmtId="168" fontId="37" fillId="9" borderId="0" xfId="0" applyNumberFormat="1" applyFont="1" applyFill="1" applyAlignment="1">
      <alignment horizontal="center"/>
    </xf>
    <xf numFmtId="0" fontId="12" fillId="9" borderId="0" xfId="0" applyFont="1" applyFill="1" applyAlignment="1">
      <alignment horizontal="center"/>
    </xf>
    <xf numFmtId="0" fontId="0" fillId="11" borderId="4" xfId="0" applyFill="1" applyBorder="1" applyAlignment="1">
      <alignment horizontal="center"/>
    </xf>
    <xf numFmtId="0" fontId="0" fillId="11" borderId="5" xfId="0" applyFill="1" applyBorder="1" applyAlignment="1">
      <alignment horizontal="center"/>
    </xf>
    <xf numFmtId="0" fontId="0" fillId="11" borderId="6" xfId="0" applyFill="1" applyBorder="1" applyAlignment="1">
      <alignment horizontal="center"/>
    </xf>
    <xf numFmtId="168" fontId="0" fillId="9" borderId="0" xfId="0" applyNumberFormat="1" applyFill="1" applyAlignment="1">
      <alignment horizontal="center"/>
    </xf>
    <xf numFmtId="3" fontId="9" fillId="9" borderId="0" xfId="0" applyNumberFormat="1" applyFont="1" applyFill="1" applyAlignment="1">
      <alignment horizontal="center"/>
    </xf>
    <xf numFmtId="0" fontId="22" fillId="5" borderId="0" xfId="0" applyFont="1" applyFill="1"/>
    <xf numFmtId="3" fontId="9" fillId="9" borderId="0" xfId="0" applyNumberFormat="1" applyFont="1" applyFill="1"/>
    <xf numFmtId="168" fontId="17" fillId="9" borderId="0" xfId="0" applyNumberFormat="1" applyFont="1" applyFill="1" applyAlignment="1">
      <alignment horizontal="center"/>
    </xf>
    <xf numFmtId="0" fontId="0" fillId="5" borderId="4" xfId="0" applyFill="1" applyBorder="1"/>
    <xf numFmtId="168" fontId="37" fillId="15" borderId="10" xfId="0" applyNumberFormat="1" applyFont="1" applyFill="1" applyBorder="1" applyAlignment="1">
      <alignment horizontal="center"/>
    </xf>
    <xf numFmtId="0" fontId="0" fillId="15" borderId="6" xfId="0" applyFill="1" applyBorder="1" applyAlignment="1">
      <alignment horizontal="center"/>
    </xf>
    <xf numFmtId="0" fontId="37" fillId="15" borderId="4" xfId="0" applyFont="1" applyFill="1" applyBorder="1" applyAlignment="1">
      <alignment horizontal="left"/>
    </xf>
    <xf numFmtId="0" fontId="1" fillId="10" borderId="0" xfId="0" applyFont="1" applyFill="1"/>
    <xf numFmtId="168" fontId="29" fillId="9" borderId="0" xfId="0" applyNumberFormat="1" applyFont="1" applyFill="1" applyAlignment="1">
      <alignment horizontal="center"/>
    </xf>
    <xf numFmtId="170" fontId="12" fillId="9" borderId="0" xfId="0" applyNumberFormat="1" applyFont="1" applyFill="1" applyAlignment="1">
      <alignment horizontal="center"/>
    </xf>
    <xf numFmtId="168" fontId="12" fillId="9" borderId="0" xfId="0" applyNumberFormat="1" applyFont="1" applyFill="1" applyAlignment="1">
      <alignment horizontal="center"/>
    </xf>
    <xf numFmtId="0" fontId="6" fillId="3" borderId="28" xfId="0" applyFont="1" applyFill="1" applyBorder="1"/>
    <xf numFmtId="0" fontId="0" fillId="3" borderId="13" xfId="0" applyFill="1" applyBorder="1"/>
    <xf numFmtId="0" fontId="0" fillId="3" borderId="22" xfId="0" applyFill="1" applyBorder="1"/>
    <xf numFmtId="0" fontId="0" fillId="4" borderId="14" xfId="0" applyFill="1" applyBorder="1"/>
    <xf numFmtId="0" fontId="0" fillId="4" borderId="16" xfId="0" applyFill="1" applyBorder="1"/>
    <xf numFmtId="0" fontId="0" fillId="4" borderId="19" xfId="0" applyFill="1" applyBorder="1"/>
    <xf numFmtId="0" fontId="0" fillId="4" borderId="21" xfId="0" applyFill="1" applyBorder="1"/>
    <xf numFmtId="0" fontId="0" fillId="4" borderId="14" xfId="0" applyFill="1" applyBorder="1" applyAlignment="1">
      <alignment horizontal="left"/>
    </xf>
    <xf numFmtId="0" fontId="0" fillId="4" borderId="16" xfId="0" applyFill="1" applyBorder="1" applyAlignment="1">
      <alignment horizontal="left"/>
    </xf>
    <xf numFmtId="0" fontId="34" fillId="6" borderId="36" xfId="0" applyFont="1" applyFill="1" applyBorder="1"/>
    <xf numFmtId="0" fontId="0" fillId="17" borderId="4" xfId="0" applyFill="1" applyBorder="1"/>
    <xf numFmtId="174" fontId="0" fillId="4" borderId="6" xfId="0" applyNumberFormat="1" applyFill="1" applyBorder="1"/>
    <xf numFmtId="175" fontId="0" fillId="4" borderId="6" xfId="0" applyNumberFormat="1" applyFill="1" applyBorder="1"/>
    <xf numFmtId="176" fontId="25" fillId="5" borderId="9" xfId="0" applyNumberFormat="1" applyFont="1" applyFill="1" applyBorder="1" applyAlignment="1">
      <alignment horizontal="center"/>
    </xf>
    <xf numFmtId="173" fontId="0" fillId="4" borderId="6" xfId="0" applyNumberFormat="1" applyFill="1" applyBorder="1"/>
    <xf numFmtId="177" fontId="0" fillId="4" borderId="6" xfId="0" applyNumberFormat="1" applyFill="1" applyBorder="1"/>
    <xf numFmtId="0" fontId="0" fillId="15" borderId="4" xfId="0" applyFill="1" applyBorder="1"/>
    <xf numFmtId="0" fontId="0" fillId="15" borderId="6" xfId="0" applyFill="1" applyBorder="1"/>
    <xf numFmtId="178" fontId="0" fillId="4" borderId="6" xfId="0" applyNumberFormat="1" applyFill="1" applyBorder="1" applyAlignment="1">
      <alignment horizontal="center"/>
    </xf>
    <xf numFmtId="179" fontId="29" fillId="6" borderId="6" xfId="0" applyNumberFormat="1" applyFont="1" applyFill="1" applyBorder="1"/>
    <xf numFmtId="173" fontId="0" fillId="4" borderId="6" xfId="0" applyNumberFormat="1" applyFill="1" applyBorder="1" applyAlignment="1">
      <alignment horizontal="center"/>
    </xf>
    <xf numFmtId="176" fontId="0" fillId="4" borderId="6" xfId="0" applyNumberFormat="1" applyFill="1" applyBorder="1"/>
    <xf numFmtId="176" fontId="29" fillId="4" borderId="6" xfId="0" applyNumberFormat="1" applyFont="1" applyFill="1" applyBorder="1" applyAlignment="1">
      <alignment horizontal="center"/>
    </xf>
    <xf numFmtId="180" fontId="0" fillId="4" borderId="6" xfId="0" applyNumberFormat="1" applyFill="1" applyBorder="1" applyAlignment="1">
      <alignment horizontal="center"/>
    </xf>
    <xf numFmtId="181" fontId="0" fillId="4" borderId="6" xfId="0" applyNumberFormat="1" applyFill="1" applyBorder="1" applyAlignment="1">
      <alignment horizontal="center"/>
    </xf>
    <xf numFmtId="182" fontId="0" fillId="4" borderId="6" xfId="1" applyNumberFormat="1" applyFont="1" applyFill="1" applyBorder="1" applyAlignment="1">
      <alignment horizontal="center"/>
    </xf>
    <xf numFmtId="0" fontId="0" fillId="6" borderId="36" xfId="0" applyFill="1" applyBorder="1"/>
    <xf numFmtId="183" fontId="0" fillId="17" borderId="6" xfId="0" applyNumberFormat="1" applyFill="1" applyBorder="1" applyAlignment="1">
      <alignment horizontal="center"/>
    </xf>
    <xf numFmtId="0" fontId="26" fillId="14" borderId="4" xfId="0" applyFont="1" applyFill="1" applyBorder="1"/>
    <xf numFmtId="173" fontId="0" fillId="14" borderId="6" xfId="0" applyNumberFormat="1" applyFill="1" applyBorder="1" applyAlignment="1">
      <alignment horizontal="center"/>
    </xf>
    <xf numFmtId="0" fontId="0" fillId="14" borderId="4" xfId="0" applyFill="1" applyBorder="1"/>
    <xf numFmtId="11" fontId="0" fillId="14" borderId="6" xfId="0" applyNumberFormat="1" applyFill="1" applyBorder="1" applyAlignment="1">
      <alignment horizontal="center"/>
    </xf>
    <xf numFmtId="0" fontId="10" fillId="11" borderId="6" xfId="0" applyFont="1" applyFill="1" applyBorder="1"/>
    <xf numFmtId="173" fontId="0" fillId="3" borderId="0" xfId="0" applyNumberFormat="1" applyFill="1" applyAlignment="1">
      <alignment horizontal="center"/>
    </xf>
    <xf numFmtId="173" fontId="17" fillId="3" borderId="0" xfId="0" applyNumberFormat="1" applyFont="1" applyFill="1" applyAlignment="1">
      <alignment horizontal="center"/>
    </xf>
    <xf numFmtId="174" fontId="0" fillId="4" borderId="6" xfId="0" applyNumberFormat="1" applyFill="1" applyBorder="1" applyAlignment="1">
      <alignment horizontal="center"/>
    </xf>
    <xf numFmtId="0" fontId="0" fillId="3" borderId="28" xfId="0" applyFill="1" applyBorder="1"/>
    <xf numFmtId="0" fontId="1" fillId="3" borderId="0" xfId="0" applyFont="1" applyFill="1"/>
    <xf numFmtId="178" fontId="0" fillId="14" borderId="6" xfId="0" applyNumberFormat="1" applyFill="1" applyBorder="1" applyAlignment="1">
      <alignment horizontal="center"/>
    </xf>
    <xf numFmtId="0" fontId="50" fillId="5" borderId="4" xfId="0" applyFont="1" applyFill="1" applyBorder="1"/>
    <xf numFmtId="175" fontId="0" fillId="4" borderId="6" xfId="0" applyNumberFormat="1" applyFill="1" applyBorder="1" applyAlignment="1">
      <alignment horizontal="center"/>
    </xf>
    <xf numFmtId="0" fontId="26" fillId="6" borderId="4" xfId="0" applyFont="1" applyFill="1" applyBorder="1"/>
    <xf numFmtId="175" fontId="17" fillId="6" borderId="6" xfId="0" applyNumberFormat="1" applyFont="1" applyFill="1" applyBorder="1"/>
    <xf numFmtId="184" fontId="25" fillId="5" borderId="6" xfId="4" applyNumberFormat="1" applyFont="1" applyFill="1" applyBorder="1" applyAlignment="1">
      <alignment horizontal="center"/>
    </xf>
    <xf numFmtId="0" fontId="0" fillId="4" borderId="17" xfId="0" applyFill="1" applyBorder="1"/>
    <xf numFmtId="0" fontId="0" fillId="4" borderId="18" xfId="0" applyFill="1" applyBorder="1"/>
    <xf numFmtId="0" fontId="31" fillId="14" borderId="4" xfId="0" applyFont="1" applyFill="1" applyBorder="1"/>
    <xf numFmtId="183" fontId="0" fillId="17" borderId="6" xfId="0" applyNumberFormat="1" applyFill="1" applyBorder="1"/>
    <xf numFmtId="0" fontId="0" fillId="15" borderId="4" xfId="0" applyFill="1" applyBorder="1" applyAlignment="1">
      <alignment horizontal="right"/>
    </xf>
    <xf numFmtId="0" fontId="0" fillId="15" borderId="4" xfId="0" applyFill="1" applyBorder="1" applyAlignment="1">
      <alignment horizontal="left"/>
    </xf>
    <xf numFmtId="178" fontId="0" fillId="4" borderId="16" xfId="0" applyNumberFormat="1" applyFill="1" applyBorder="1" applyAlignment="1">
      <alignment horizontal="center"/>
    </xf>
    <xf numFmtId="179" fontId="29" fillId="6" borderId="6" xfId="0" applyNumberFormat="1" applyFont="1" applyFill="1" applyBorder="1" applyAlignment="1">
      <alignment horizontal="center"/>
    </xf>
    <xf numFmtId="176" fontId="0" fillId="4" borderId="6" xfId="0" applyNumberFormat="1" applyFill="1" applyBorder="1" applyAlignment="1">
      <alignment horizontal="center"/>
    </xf>
    <xf numFmtId="168" fontId="29" fillId="4" borderId="19" xfId="0" applyNumberFormat="1" applyFont="1" applyFill="1" applyBorder="1" applyAlignment="1">
      <alignment horizontal="right"/>
    </xf>
    <xf numFmtId="0" fontId="29" fillId="4" borderId="21" xfId="0" applyFont="1" applyFill="1" applyBorder="1" applyAlignment="1">
      <alignment horizontal="left"/>
    </xf>
    <xf numFmtId="168" fontId="29" fillId="4" borderId="19" xfId="0" applyNumberFormat="1" applyFont="1" applyFill="1" applyBorder="1"/>
    <xf numFmtId="0" fontId="29" fillId="4" borderId="21" xfId="0" applyFont="1" applyFill="1" applyBorder="1"/>
    <xf numFmtId="182" fontId="0" fillId="4" borderId="6" xfId="0" applyNumberFormat="1" applyFill="1" applyBorder="1" applyAlignment="1">
      <alignment horizontal="center"/>
    </xf>
    <xf numFmtId="11" fontId="0" fillId="14" borderId="6" xfId="0" applyNumberFormat="1" applyFill="1" applyBorder="1"/>
    <xf numFmtId="0" fontId="0" fillId="4" borderId="19" xfId="0" applyFill="1" applyBorder="1" applyAlignment="1">
      <alignment horizontal="left"/>
    </xf>
    <xf numFmtId="0" fontId="9" fillId="5" borderId="4" xfId="0" applyFont="1" applyFill="1" applyBorder="1"/>
    <xf numFmtId="14" fontId="0" fillId="5" borderId="32" xfId="0" applyNumberFormat="1" applyFill="1" applyBorder="1" applyAlignment="1">
      <alignment horizontal="left"/>
    </xf>
    <xf numFmtId="0" fontId="6" fillId="5" borderId="6" xfId="0" quotePrefix="1" applyFont="1" applyFill="1" applyBorder="1"/>
    <xf numFmtId="2" fontId="0" fillId="6" borderId="4" xfId="0" applyNumberFormat="1" applyFill="1" applyBorder="1" applyAlignment="1">
      <alignment horizontal="center"/>
    </xf>
    <xf numFmtId="184" fontId="0" fillId="6" borderId="9" xfId="0" applyNumberFormat="1" applyFill="1" applyBorder="1" applyAlignment="1">
      <alignment horizontal="center"/>
    </xf>
    <xf numFmtId="184" fontId="0" fillId="6" borderId="9" xfId="4" applyNumberFormat="1" applyFont="1" applyFill="1" applyBorder="1" applyAlignment="1">
      <alignment horizontal="center"/>
    </xf>
    <xf numFmtId="2" fontId="17" fillId="6" borderId="4" xfId="0" applyNumberFormat="1" applyFont="1" applyFill="1" applyBorder="1" applyAlignment="1">
      <alignment horizontal="center"/>
    </xf>
    <xf numFmtId="0" fontId="29" fillId="3" borderId="0" xfId="0" applyFont="1" applyFill="1" applyAlignment="1">
      <alignment horizontal="center"/>
    </xf>
    <xf numFmtId="20" fontId="0" fillId="3" borderId="0" xfId="0" applyNumberFormat="1" applyFill="1" applyAlignment="1">
      <alignment horizontal="right"/>
    </xf>
    <xf numFmtId="0" fontId="52" fillId="3" borderId="0" xfId="0" applyFont="1" applyFill="1"/>
    <xf numFmtId="168" fontId="25" fillId="5" borderId="4" xfId="0" applyNumberFormat="1" applyFont="1" applyFill="1" applyBorder="1" applyAlignment="1">
      <alignment horizontal="center"/>
    </xf>
    <xf numFmtId="168" fontId="25" fillId="5" borderId="4" xfId="0" applyNumberFormat="1" applyFont="1" applyFill="1" applyBorder="1" applyAlignment="1">
      <alignment horizontal="right"/>
    </xf>
    <xf numFmtId="175" fontId="25" fillId="5" borderId="9" xfId="0" applyNumberFormat="1" applyFont="1" applyFill="1" applyBorder="1" applyAlignment="1">
      <alignment horizontal="center"/>
    </xf>
    <xf numFmtId="0" fontId="12" fillId="10" borderId="4" xfId="0" applyFont="1" applyFill="1" applyBorder="1"/>
    <xf numFmtId="0" fontId="12" fillId="10" borderId="5" xfId="0" applyFont="1" applyFill="1" applyBorder="1"/>
    <xf numFmtId="0" fontId="43" fillId="4" borderId="28" xfId="0" applyFont="1" applyFill="1" applyBorder="1"/>
    <xf numFmtId="0" fontId="43" fillId="4" borderId="13" xfId="0" applyFont="1" applyFill="1" applyBorder="1"/>
    <xf numFmtId="0" fontId="44" fillId="4" borderId="13" xfId="0" applyFont="1" applyFill="1" applyBorder="1"/>
    <xf numFmtId="0" fontId="43" fillId="4" borderId="22" xfId="0" applyFont="1" applyFill="1" applyBorder="1"/>
    <xf numFmtId="0" fontId="35" fillId="4" borderId="23" xfId="0" applyFont="1" applyFill="1" applyBorder="1"/>
    <xf numFmtId="0" fontId="16" fillId="4" borderId="0" xfId="0" applyFont="1" applyFill="1"/>
    <xf numFmtId="0" fontId="0" fillId="4" borderId="24" xfId="0" applyFill="1" applyBorder="1"/>
    <xf numFmtId="0" fontId="5" fillId="4" borderId="25" xfId="0" applyFont="1" applyFill="1" applyBorder="1"/>
    <xf numFmtId="0" fontId="30" fillId="4" borderId="26" xfId="0" applyFont="1" applyFill="1" applyBorder="1"/>
    <xf numFmtId="0" fontId="30" fillId="4" borderId="27" xfId="0" applyFont="1" applyFill="1" applyBorder="1"/>
    <xf numFmtId="0" fontId="0" fillId="4" borderId="27" xfId="0" applyFill="1" applyBorder="1"/>
    <xf numFmtId="0" fontId="37" fillId="3" borderId="0" xfId="0" applyFont="1" applyFill="1"/>
    <xf numFmtId="0" fontId="53" fillId="3" borderId="0" xfId="0" applyFont="1" applyFill="1"/>
    <xf numFmtId="0" fontId="54" fillId="3" borderId="0" xfId="0" applyFont="1" applyFill="1"/>
    <xf numFmtId="164" fontId="54" fillId="3" borderId="0" xfId="0" applyNumberFormat="1" applyFont="1" applyFill="1"/>
    <xf numFmtId="0" fontId="15" fillId="3" borderId="0" xfId="0" quotePrefix="1" applyFont="1" applyFill="1"/>
    <xf numFmtId="2" fontId="12" fillId="3" borderId="0" xfId="0" applyNumberFormat="1" applyFont="1" applyFill="1"/>
    <xf numFmtId="0" fontId="36" fillId="3" borderId="0" xfId="0" applyFont="1" applyFill="1"/>
    <xf numFmtId="168" fontId="0" fillId="3" borderId="0" xfId="0" applyNumberFormat="1" applyFill="1"/>
    <xf numFmtId="168" fontId="16" fillId="3" borderId="0" xfId="0" applyNumberFormat="1" applyFont="1" applyFill="1"/>
    <xf numFmtId="168" fontId="12" fillId="3" borderId="0" xfId="0" applyNumberFormat="1" applyFont="1" applyFill="1"/>
    <xf numFmtId="178" fontId="16" fillId="6" borderId="1" xfId="0" applyNumberFormat="1" applyFont="1" applyFill="1" applyBorder="1" applyAlignment="1">
      <alignment horizontal="center"/>
    </xf>
    <xf numFmtId="0" fontId="0" fillId="5" borderId="28" xfId="0" applyFill="1" applyBorder="1"/>
    <xf numFmtId="0" fontId="6" fillId="5" borderId="25" xfId="0" applyFont="1" applyFill="1" applyBorder="1"/>
    <xf numFmtId="0" fontId="42" fillId="5" borderId="26" xfId="0" applyFont="1" applyFill="1" applyBorder="1"/>
    <xf numFmtId="0" fontId="14" fillId="5" borderId="26" xfId="0" applyFont="1" applyFill="1" applyBorder="1"/>
    <xf numFmtId="0" fontId="42" fillId="5" borderId="27" xfId="0" applyFont="1" applyFill="1" applyBorder="1"/>
    <xf numFmtId="0" fontId="0" fillId="10" borderId="13" xfId="0" applyFill="1" applyBorder="1"/>
    <xf numFmtId="0" fontId="0" fillId="10" borderId="22" xfId="0" applyFill="1" applyBorder="1"/>
    <xf numFmtId="0" fontId="0" fillId="10" borderId="23" xfId="0" applyFill="1" applyBorder="1"/>
    <xf numFmtId="0" fontId="0" fillId="10" borderId="25" xfId="0" applyFill="1" applyBorder="1"/>
    <xf numFmtId="0" fontId="0" fillId="18" borderId="0" xfId="0" applyFill="1"/>
    <xf numFmtId="0" fontId="0" fillId="18" borderId="24" xfId="0" applyFill="1" applyBorder="1"/>
    <xf numFmtId="168" fontId="0" fillId="18" borderId="0" xfId="0" applyNumberFormat="1" applyFill="1" applyAlignment="1">
      <alignment horizontal="center"/>
    </xf>
    <xf numFmtId="0" fontId="0" fillId="18" borderId="0" xfId="0" applyFill="1" applyAlignment="1">
      <alignment horizontal="center"/>
    </xf>
    <xf numFmtId="0" fontId="0" fillId="18" borderId="26" xfId="0" applyFill="1" applyBorder="1"/>
    <xf numFmtId="168" fontId="0" fillId="18" borderId="26" xfId="0" applyNumberFormat="1" applyFill="1" applyBorder="1" applyAlignment="1">
      <alignment horizontal="center"/>
    </xf>
    <xf numFmtId="0" fontId="0" fillId="18" borderId="26" xfId="0" applyFill="1" applyBorder="1" applyAlignment="1">
      <alignment horizontal="center"/>
    </xf>
    <xf numFmtId="0" fontId="0" fillId="18" borderId="27" xfId="0" applyFill="1" applyBorder="1"/>
    <xf numFmtId="0" fontId="0" fillId="18" borderId="23" xfId="0" applyFill="1" applyBorder="1" applyAlignment="1">
      <alignment horizontal="center"/>
    </xf>
    <xf numFmtId="0" fontId="0" fillId="18" borderId="25" xfId="0" applyFill="1" applyBorder="1" applyAlignment="1">
      <alignment horizontal="center"/>
    </xf>
    <xf numFmtId="185" fontId="0" fillId="17" borderId="9" xfId="0" applyNumberFormat="1" applyFill="1" applyBorder="1" applyAlignment="1">
      <alignment horizontal="center"/>
    </xf>
    <xf numFmtId="186" fontId="25" fillId="5" borderId="9" xfId="0" applyNumberFormat="1" applyFont="1" applyFill="1" applyBorder="1" applyAlignment="1">
      <alignment horizontal="center"/>
    </xf>
    <xf numFmtId="176" fontId="29" fillId="6" borderId="9" xfId="0" applyNumberFormat="1" applyFont="1" applyFill="1" applyBorder="1" applyAlignment="1">
      <alignment horizontal="center"/>
    </xf>
    <xf numFmtId="0" fontId="11" fillId="4" borderId="33" xfId="0" applyFont="1" applyFill="1" applyBorder="1" applyAlignment="1">
      <alignment horizontal="center"/>
    </xf>
    <xf numFmtId="0" fontId="11" fillId="4" borderId="20" xfId="0" applyFont="1" applyFill="1" applyBorder="1"/>
    <xf numFmtId="0" fontId="0" fillId="4" borderId="20" xfId="0" applyFill="1" applyBorder="1"/>
    <xf numFmtId="0" fontId="12" fillId="4" borderId="20" xfId="0" applyFont="1" applyFill="1" applyBorder="1"/>
    <xf numFmtId="0" fontId="0" fillId="4" borderId="45" xfId="0" applyFill="1" applyBorder="1"/>
    <xf numFmtId="0" fontId="6" fillId="10" borderId="28" xfId="0" applyFont="1" applyFill="1" applyBorder="1"/>
    <xf numFmtId="0" fontId="2" fillId="3" borderId="0" xfId="2" applyFill="1" applyAlignment="1" applyProtection="1"/>
    <xf numFmtId="168" fontId="0" fillId="18" borderId="0" xfId="0" applyNumberFormat="1" applyFill="1"/>
    <xf numFmtId="2" fontId="0" fillId="18" borderId="0" xfId="0" applyNumberFormat="1" applyFill="1" applyAlignment="1">
      <alignment horizontal="center"/>
    </xf>
    <xf numFmtId="2" fontId="6" fillId="18" borderId="0" xfId="0" applyNumberFormat="1" applyFont="1" applyFill="1" applyAlignment="1">
      <alignment horizontal="center"/>
    </xf>
    <xf numFmtId="168" fontId="6" fillId="18" borderId="0" xfId="0" applyNumberFormat="1" applyFont="1" applyFill="1" applyAlignment="1">
      <alignment horizontal="center"/>
    </xf>
    <xf numFmtId="0" fontId="0" fillId="15" borderId="28" xfId="0" applyFill="1" applyBorder="1"/>
    <xf numFmtId="173" fontId="6" fillId="6" borderId="8" xfId="0" applyNumberFormat="1" applyFont="1" applyFill="1" applyBorder="1" applyAlignment="1">
      <alignment horizontal="center"/>
    </xf>
    <xf numFmtId="0" fontId="55" fillId="3" borderId="0" xfId="0" applyFont="1" applyFill="1" applyAlignment="1">
      <alignment horizontal="left"/>
    </xf>
    <xf numFmtId="0" fontId="1" fillId="3" borderId="0" xfId="0" applyFont="1" applyFill="1" applyAlignment="1">
      <alignment horizontal="center"/>
    </xf>
    <xf numFmtId="187" fontId="25" fillId="5" borderId="9" xfId="0" applyNumberFormat="1" applyFont="1" applyFill="1" applyBorder="1" applyAlignment="1">
      <alignment horizontal="center"/>
    </xf>
    <xf numFmtId="1" fontId="0" fillId="3" borderId="0" xfId="0" applyNumberFormat="1" applyFill="1" applyAlignment="1">
      <alignment horizontal="center"/>
    </xf>
    <xf numFmtId="0" fontId="13" fillId="3" borderId="0" xfId="0" applyFont="1" applyFill="1"/>
    <xf numFmtId="169" fontId="0" fillId="18" borderId="0" xfId="1" applyNumberFormat="1" applyFont="1" applyFill="1" applyBorder="1"/>
    <xf numFmtId="185" fontId="0" fillId="17" borderId="9" xfId="1" applyNumberFormat="1" applyFont="1" applyFill="1" applyBorder="1" applyAlignment="1">
      <alignment horizontal="left"/>
    </xf>
    <xf numFmtId="0" fontId="0" fillId="3" borderId="4" xfId="0" applyFill="1" applyBorder="1" applyAlignment="1">
      <alignment horizontal="left"/>
    </xf>
    <xf numFmtId="0" fontId="0" fillId="3" borderId="6" xfId="0" applyFill="1" applyBorder="1" applyAlignment="1">
      <alignment horizontal="left"/>
    </xf>
    <xf numFmtId="0" fontId="0" fillId="0" borderId="22" xfId="0" applyBorder="1"/>
    <xf numFmtId="0" fontId="0" fillId="0" borderId="24" xfId="0" applyBorder="1"/>
    <xf numFmtId="0" fontId="0" fillId="0" borderId="27" xfId="0" applyBorder="1"/>
    <xf numFmtId="0" fontId="0" fillId="4" borderId="9" xfId="0" applyFill="1" applyBorder="1" applyAlignment="1">
      <alignment horizontal="center"/>
    </xf>
    <xf numFmtId="0" fontId="6" fillId="11" borderId="9" xfId="0" applyFont="1" applyFill="1" applyBorder="1"/>
    <xf numFmtId="168" fontId="1" fillId="3" borderId="0" xfId="0" applyNumberFormat="1" applyFont="1" applyFill="1"/>
    <xf numFmtId="0" fontId="0" fillId="5" borderId="5" xfId="0" applyFill="1" applyBorder="1"/>
    <xf numFmtId="0" fontId="0" fillId="5" borderId="5" xfId="0" applyFill="1" applyBorder="1" applyAlignment="1">
      <alignment horizontal="center"/>
    </xf>
    <xf numFmtId="0" fontId="0" fillId="5" borderId="20" xfId="0" applyFill="1" applyBorder="1"/>
    <xf numFmtId="0" fontId="0" fillId="5" borderId="14" xfId="0" applyFill="1" applyBorder="1" applyAlignment="1">
      <alignment horizontal="center"/>
    </xf>
    <xf numFmtId="0" fontId="0" fillId="5" borderId="16" xfId="0" applyFill="1" applyBorder="1" applyAlignment="1">
      <alignment horizontal="center"/>
    </xf>
    <xf numFmtId="0" fontId="0" fillId="5" borderId="21" xfId="0" applyFill="1" applyBorder="1"/>
    <xf numFmtId="0" fontId="16" fillId="6" borderId="9" xfId="0" applyFont="1" applyFill="1" applyBorder="1"/>
    <xf numFmtId="0" fontId="29" fillId="6" borderId="9" xfId="0" applyFont="1" applyFill="1" applyBorder="1"/>
    <xf numFmtId="0" fontId="20" fillId="4" borderId="1" xfId="0" applyFont="1" applyFill="1" applyBorder="1"/>
    <xf numFmtId="0" fontId="5" fillId="4" borderId="36" xfId="0" applyFont="1" applyFill="1" applyBorder="1" applyAlignment="1">
      <alignment horizontal="left"/>
    </xf>
    <xf numFmtId="0" fontId="0" fillId="3" borderId="0" xfId="0" applyFill="1" applyAlignment="1">
      <alignment horizontal="left"/>
    </xf>
    <xf numFmtId="0" fontId="26" fillId="3" borderId="1" xfId="0" applyFont="1" applyFill="1" applyBorder="1" applyAlignment="1">
      <alignment horizontal="left"/>
    </xf>
    <xf numFmtId="0" fontId="0" fillId="4" borderId="25" xfId="0" applyFill="1" applyBorder="1"/>
    <xf numFmtId="0" fontId="6" fillId="3" borderId="0" xfId="0" applyFont="1" applyFill="1" applyAlignment="1">
      <alignment horizontal="center"/>
    </xf>
    <xf numFmtId="0" fontId="5" fillId="3" borderId="0" xfId="0" applyFont="1" applyFill="1"/>
    <xf numFmtId="0" fontId="11" fillId="9" borderId="9" xfId="0" applyFont="1" applyFill="1" applyBorder="1"/>
    <xf numFmtId="0" fontId="0" fillId="9" borderId="9" xfId="0" applyFill="1" applyBorder="1"/>
    <xf numFmtId="168" fontId="6" fillId="9" borderId="9" xfId="0" applyNumberFormat="1" applyFont="1" applyFill="1" applyBorder="1" applyAlignment="1">
      <alignment horizontal="center"/>
    </xf>
    <xf numFmtId="0" fontId="0" fillId="9" borderId="9" xfId="0" applyFill="1" applyBorder="1" applyAlignment="1">
      <alignment horizontal="center"/>
    </xf>
    <xf numFmtId="0" fontId="33" fillId="5" borderId="0" xfId="0" applyFont="1" applyFill="1" applyAlignment="1">
      <alignment horizontal="center"/>
    </xf>
    <xf numFmtId="0" fontId="6" fillId="5" borderId="0" xfId="0" applyFont="1" applyFill="1" applyAlignment="1">
      <alignment horizontal="center"/>
    </xf>
    <xf numFmtId="0" fontId="1" fillId="4" borderId="0" xfId="0" applyFont="1" applyFill="1"/>
    <xf numFmtId="0" fontId="15" fillId="4" borderId="0" xfId="0" applyFont="1" applyFill="1"/>
    <xf numFmtId="0" fontId="42" fillId="4" borderId="0" xfId="0" applyFont="1" applyFill="1"/>
    <xf numFmtId="0" fontId="17" fillId="3" borderId="13" xfId="0" applyFont="1" applyFill="1" applyBorder="1"/>
    <xf numFmtId="0" fontId="6" fillId="11" borderId="19" xfId="0" applyFont="1" applyFill="1" applyBorder="1"/>
    <xf numFmtId="0" fontId="6" fillId="11" borderId="21" xfId="0" applyFont="1" applyFill="1" applyBorder="1"/>
    <xf numFmtId="0" fontId="9" fillId="5" borderId="8" xfId="0" applyFont="1" applyFill="1" applyBorder="1" applyAlignment="1">
      <alignment horizontal="center"/>
    </xf>
    <xf numFmtId="0" fontId="6" fillId="3" borderId="9" xfId="0" applyFont="1" applyFill="1" applyBorder="1"/>
    <xf numFmtId="0" fontId="37" fillId="3" borderId="9" xfId="0" applyFont="1" applyFill="1" applyBorder="1"/>
    <xf numFmtId="0" fontId="4" fillId="13" borderId="7" xfId="0" applyFont="1" applyFill="1" applyBorder="1"/>
    <xf numFmtId="0" fontId="57" fillId="13" borderId="7" xfId="0" applyFont="1" applyFill="1" applyBorder="1"/>
    <xf numFmtId="0" fontId="4" fillId="13" borderId="7" xfId="0" applyFont="1" applyFill="1" applyBorder="1" applyAlignment="1">
      <alignment horizontal="center"/>
    </xf>
    <xf numFmtId="0" fontId="25" fillId="0" borderId="9" xfId="0" applyFont="1" applyBorder="1" applyAlignment="1">
      <alignment horizontal="center"/>
    </xf>
    <xf numFmtId="0" fontId="29" fillId="4" borderId="9" xfId="0" applyFont="1" applyFill="1" applyBorder="1" applyAlignment="1">
      <alignment horizontal="center"/>
    </xf>
    <xf numFmtId="0" fontId="6" fillId="19" borderId="9" xfId="0" applyFont="1" applyFill="1" applyBorder="1" applyAlignment="1">
      <alignment horizontal="center"/>
    </xf>
    <xf numFmtId="0" fontId="6" fillId="20" borderId="9" xfId="0" applyFont="1" applyFill="1" applyBorder="1" applyAlignment="1">
      <alignment horizontal="center"/>
    </xf>
    <xf numFmtId="0" fontId="6" fillId="6" borderId="9" xfId="0" applyFont="1" applyFill="1" applyBorder="1" applyAlignment="1">
      <alignment horizontal="center"/>
    </xf>
    <xf numFmtId="0" fontId="0" fillId="11" borderId="14" xfId="0" applyFill="1" applyBorder="1"/>
    <xf numFmtId="0" fontId="0" fillId="11" borderId="16" xfId="0" applyFill="1" applyBorder="1"/>
    <xf numFmtId="0" fontId="11" fillId="5" borderId="4" xfId="0" applyFont="1" applyFill="1" applyBorder="1"/>
    <xf numFmtId="0" fontId="11" fillId="5" borderId="5" xfId="0" applyFont="1" applyFill="1" applyBorder="1"/>
    <xf numFmtId="0" fontId="11" fillId="5" borderId="5" xfId="0" applyFont="1" applyFill="1" applyBorder="1" applyAlignment="1">
      <alignment horizontal="center"/>
    </xf>
    <xf numFmtId="0" fontId="11" fillId="5" borderId="6" xfId="0" applyFont="1" applyFill="1" applyBorder="1" applyAlignment="1">
      <alignment horizontal="center"/>
    </xf>
    <xf numFmtId="173" fontId="29" fillId="6" borderId="10" xfId="0" applyNumberFormat="1" applyFont="1" applyFill="1" applyBorder="1" applyAlignment="1">
      <alignment horizontal="center"/>
    </xf>
    <xf numFmtId="0" fontId="0" fillId="8" borderId="5" xfId="0" applyFill="1" applyBorder="1"/>
    <xf numFmtId="0" fontId="11" fillId="5" borderId="4" xfId="0" applyFont="1" applyFill="1" applyBorder="1" applyAlignment="1">
      <alignment horizontal="center"/>
    </xf>
    <xf numFmtId="0" fontId="0" fillId="11" borderId="9" xfId="0" applyFill="1" applyBorder="1" applyAlignment="1">
      <alignment horizontal="left"/>
    </xf>
    <xf numFmtId="0" fontId="7" fillId="5" borderId="1" xfId="0" applyFont="1" applyFill="1" applyBorder="1" applyAlignment="1">
      <alignment horizontal="center"/>
    </xf>
    <xf numFmtId="0" fontId="5" fillId="4" borderId="19" xfId="0" applyFont="1" applyFill="1" applyBorder="1" applyAlignment="1">
      <alignment horizontal="left"/>
    </xf>
    <xf numFmtId="0" fontId="5" fillId="4" borderId="5" xfId="0" applyFont="1" applyFill="1" applyBorder="1" applyAlignment="1">
      <alignment horizontal="center"/>
    </xf>
    <xf numFmtId="0" fontId="0" fillId="17" borderId="9" xfId="0" applyFill="1" applyBorder="1"/>
    <xf numFmtId="0" fontId="6" fillId="15" borderId="4" xfId="0" applyFont="1" applyFill="1" applyBorder="1"/>
    <xf numFmtId="0" fontId="41" fillId="11" borderId="4" xfId="0" applyFont="1" applyFill="1" applyBorder="1"/>
    <xf numFmtId="0" fontId="42" fillId="11" borderId="6" xfId="0" applyFont="1" applyFill="1" applyBorder="1"/>
    <xf numFmtId="0" fontId="42" fillId="11" borderId="5" xfId="0" applyFont="1" applyFill="1" applyBorder="1"/>
    <xf numFmtId="0" fontId="15" fillId="18" borderId="9" xfId="0" applyFont="1" applyFill="1" applyBorder="1" applyAlignment="1">
      <alignment horizontal="center"/>
    </xf>
    <xf numFmtId="0" fontId="1" fillId="8" borderId="0" xfId="0" applyFont="1" applyFill="1"/>
    <xf numFmtId="0" fontId="42" fillId="8" borderId="0" xfId="0" applyFont="1" applyFill="1"/>
    <xf numFmtId="0" fontId="6" fillId="18" borderId="4" xfId="0" applyFont="1" applyFill="1" applyBorder="1"/>
    <xf numFmtId="0" fontId="0" fillId="18" borderId="5" xfId="0" applyFill="1" applyBorder="1"/>
    <xf numFmtId="0" fontId="0" fillId="18" borderId="6" xfId="0" applyFill="1" applyBorder="1"/>
    <xf numFmtId="0" fontId="0" fillId="8" borderId="6" xfId="0" applyFill="1" applyBorder="1"/>
    <xf numFmtId="0" fontId="6" fillId="18" borderId="5" xfId="0" applyFont="1" applyFill="1" applyBorder="1"/>
    <xf numFmtId="1" fontId="0" fillId="8" borderId="0" xfId="0" applyNumberFormat="1" applyFill="1" applyAlignment="1">
      <alignment horizontal="center"/>
    </xf>
    <xf numFmtId="0" fontId="0" fillId="8" borderId="4" xfId="0" applyFill="1" applyBorder="1"/>
    <xf numFmtId="168" fontId="0" fillId="8" borderId="9" xfId="0" applyNumberFormat="1" applyFill="1" applyBorder="1" applyAlignment="1">
      <alignment horizontal="center"/>
    </xf>
    <xf numFmtId="0" fontId="16" fillId="8" borderId="4" xfId="0" applyFont="1" applyFill="1" applyBorder="1"/>
    <xf numFmtId="0" fontId="17" fillId="4" borderId="26" xfId="0" applyFont="1" applyFill="1" applyBorder="1"/>
    <xf numFmtId="0" fontId="17" fillId="4" borderId="7" xfId="0" applyFont="1" applyFill="1" applyBorder="1"/>
    <xf numFmtId="0" fontId="64" fillId="4" borderId="26" xfId="0" applyFont="1" applyFill="1" applyBorder="1"/>
    <xf numFmtId="0" fontId="29" fillId="6" borderId="19" xfId="0" applyFont="1" applyFill="1" applyBorder="1"/>
    <xf numFmtId="0" fontId="29" fillId="6" borderId="21" xfId="0" applyFont="1" applyFill="1" applyBorder="1" applyAlignment="1">
      <alignment horizontal="center"/>
    </xf>
    <xf numFmtId="0" fontId="29" fillId="3" borderId="19" xfId="0" applyFont="1" applyFill="1" applyBorder="1" applyAlignment="1">
      <alignment horizontal="center"/>
    </xf>
    <xf numFmtId="0" fontId="64" fillId="7" borderId="0" xfId="0" applyFont="1" applyFill="1"/>
    <xf numFmtId="0" fontId="65" fillId="0" borderId="0" xfId="0" applyFont="1"/>
    <xf numFmtId="0" fontId="65" fillId="8" borderId="0" xfId="0" applyFont="1" applyFill="1"/>
    <xf numFmtId="0" fontId="0" fillId="0" borderId="9" xfId="0" applyBorder="1" applyAlignment="1">
      <alignment horizontal="center"/>
    </xf>
    <xf numFmtId="0" fontId="1" fillId="17" borderId="9" xfId="0" applyFont="1" applyFill="1" applyBorder="1" applyAlignment="1">
      <alignment horizontal="center"/>
    </xf>
    <xf numFmtId="0" fontId="1" fillId="0" borderId="0" xfId="0" applyFont="1" applyAlignment="1">
      <alignment horizontal="center"/>
    </xf>
    <xf numFmtId="0" fontId="9" fillId="5" borderId="26" xfId="0" applyFont="1" applyFill="1" applyBorder="1" applyAlignment="1">
      <alignment horizontal="center"/>
    </xf>
    <xf numFmtId="0" fontId="25" fillId="5" borderId="26" xfId="0" applyFont="1" applyFill="1" applyBorder="1"/>
    <xf numFmtId="0" fontId="25" fillId="5" borderId="26" xfId="0" applyFont="1" applyFill="1" applyBorder="1" applyAlignment="1">
      <alignment horizontal="right"/>
    </xf>
    <xf numFmtId="0" fontId="35" fillId="4" borderId="26" xfId="0" applyFont="1" applyFill="1" applyBorder="1" applyAlignment="1">
      <alignment horizontal="left"/>
    </xf>
    <xf numFmtId="0" fontId="6" fillId="4" borderId="26" xfId="0" applyFont="1" applyFill="1" applyBorder="1" applyAlignment="1">
      <alignment horizontal="center"/>
    </xf>
    <xf numFmtId="0" fontId="11" fillId="4" borderId="26" xfId="0" applyFont="1" applyFill="1" applyBorder="1" applyAlignment="1">
      <alignment horizontal="center"/>
    </xf>
    <xf numFmtId="189" fontId="9" fillId="5" borderId="9" xfId="1" applyNumberFormat="1" applyFont="1" applyFill="1" applyBorder="1" applyAlignment="1">
      <alignment horizontal="center"/>
    </xf>
    <xf numFmtId="190" fontId="9" fillId="5" borderId="9" xfId="0" applyNumberFormat="1" applyFont="1" applyFill="1" applyBorder="1" applyAlignment="1">
      <alignment horizontal="center"/>
    </xf>
    <xf numFmtId="191" fontId="12" fillId="3" borderId="0" xfId="1" applyNumberFormat="1" applyFont="1" applyFill="1" applyAlignment="1">
      <alignment horizontal="center"/>
    </xf>
    <xf numFmtId="0" fontId="25" fillId="5" borderId="4" xfId="0" applyFont="1" applyFill="1" applyBorder="1" applyAlignment="1">
      <alignment horizontal="center"/>
    </xf>
    <xf numFmtId="0" fontId="25" fillId="5" borderId="4" xfId="0" applyFont="1" applyFill="1" applyBorder="1" applyAlignment="1">
      <alignment horizontal="left"/>
    </xf>
    <xf numFmtId="168" fontId="1" fillId="16" borderId="0" xfId="0" applyNumberFormat="1" applyFont="1" applyFill="1" applyAlignment="1">
      <alignment horizontal="center"/>
    </xf>
    <xf numFmtId="0" fontId="25" fillId="3" borderId="0" xfId="0" applyFont="1" applyFill="1"/>
    <xf numFmtId="0" fontId="1" fillId="10" borderId="0" xfId="0" applyFont="1" applyFill="1" applyAlignment="1">
      <alignment horizontal="center"/>
    </xf>
    <xf numFmtId="0" fontId="5" fillId="4" borderId="4" xfId="0" applyFont="1" applyFill="1" applyBorder="1" applyAlignment="1">
      <alignment horizontal="left"/>
    </xf>
    <xf numFmtId="0" fontId="17" fillId="3" borderId="0" xfId="0" applyFont="1" applyFill="1"/>
    <xf numFmtId="0" fontId="5" fillId="4" borderId="4" xfId="0" applyFont="1" applyFill="1" applyBorder="1" applyAlignment="1">
      <alignment horizontal="center"/>
    </xf>
    <xf numFmtId="171" fontId="8" fillId="5" borderId="1" xfId="0" applyNumberFormat="1" applyFont="1" applyFill="1" applyBorder="1" applyAlignment="1">
      <alignment horizontal="center"/>
    </xf>
    <xf numFmtId="192" fontId="29" fillId="6" borderId="9" xfId="0" applyNumberFormat="1" applyFont="1" applyFill="1" applyBorder="1" applyAlignment="1">
      <alignment horizontal="center"/>
    </xf>
    <xf numFmtId="14" fontId="0" fillId="8" borderId="9" xfId="0" applyNumberFormat="1" applyFill="1" applyBorder="1" applyAlignment="1">
      <alignment horizontal="center"/>
    </xf>
    <xf numFmtId="0" fontId="0" fillId="8" borderId="9" xfId="0" applyFill="1" applyBorder="1" applyAlignment="1">
      <alignment horizontal="center"/>
    </xf>
    <xf numFmtId="164" fontId="6" fillId="8" borderId="17" xfId="0" applyNumberFormat="1" applyFont="1" applyFill="1" applyBorder="1"/>
    <xf numFmtId="0" fontId="26" fillId="3" borderId="0" xfId="0" applyFont="1" applyFill="1" applyAlignment="1">
      <alignment horizontal="center"/>
    </xf>
    <xf numFmtId="0" fontId="0" fillId="6" borderId="5" xfId="0" applyFill="1" applyBorder="1" applyAlignment="1">
      <alignment horizontal="left"/>
    </xf>
    <xf numFmtId="0" fontId="25" fillId="5" borderId="1" xfId="0" applyFont="1" applyFill="1" applyBorder="1" applyAlignment="1">
      <alignment horizontal="center"/>
    </xf>
    <xf numFmtId="168" fontId="25" fillId="5" borderId="26" xfId="0" applyNumberFormat="1" applyFont="1" applyFill="1" applyBorder="1" applyAlignment="1">
      <alignment horizontal="center"/>
    </xf>
    <xf numFmtId="168" fontId="25" fillId="5" borderId="26" xfId="0" applyNumberFormat="1" applyFont="1" applyFill="1" applyBorder="1" applyAlignment="1">
      <alignment horizontal="right"/>
    </xf>
    <xf numFmtId="168" fontId="1" fillId="17" borderId="12" xfId="0" applyNumberFormat="1" applyFont="1" applyFill="1" applyBorder="1" applyAlignment="1">
      <alignment horizontal="center"/>
    </xf>
    <xf numFmtId="168" fontId="25" fillId="10" borderId="0" xfId="0" applyNumberFormat="1" applyFont="1" applyFill="1"/>
    <xf numFmtId="167" fontId="25" fillId="5" borderId="9" xfId="0" applyNumberFormat="1" applyFont="1" applyFill="1" applyBorder="1"/>
    <xf numFmtId="167" fontId="25" fillId="5" borderId="9" xfId="0" applyNumberFormat="1" applyFont="1" applyFill="1" applyBorder="1" applyAlignment="1">
      <alignment horizontal="center"/>
    </xf>
    <xf numFmtId="0" fontId="9" fillId="0" borderId="9" xfId="0" applyFont="1" applyBorder="1" applyAlignment="1">
      <alignment horizontal="center"/>
    </xf>
    <xf numFmtId="2" fontId="10" fillId="3" borderId="9" xfId="0" applyNumberFormat="1" applyFont="1" applyFill="1" applyBorder="1" applyAlignment="1">
      <alignment horizontal="center"/>
    </xf>
    <xf numFmtId="0" fontId="0" fillId="3" borderId="0" xfId="0" applyFill="1" applyAlignment="1">
      <alignment wrapText="1"/>
    </xf>
    <xf numFmtId="0" fontId="0" fillId="15" borderId="1" xfId="0" applyFill="1" applyBorder="1" applyAlignment="1">
      <alignment horizontal="center"/>
    </xf>
    <xf numFmtId="0" fontId="9" fillId="0" borderId="9" xfId="0" quotePrefix="1" applyFont="1" applyBorder="1" applyAlignment="1">
      <alignment horizontal="center"/>
    </xf>
    <xf numFmtId="2" fontId="17" fillId="6" borderId="9" xfId="0" applyNumberFormat="1" applyFont="1" applyFill="1" applyBorder="1" applyAlignment="1">
      <alignment horizontal="center"/>
    </xf>
    <xf numFmtId="0" fontId="25" fillId="9" borderId="0" xfId="0" applyFont="1" applyFill="1" applyAlignment="1">
      <alignment horizontal="left"/>
    </xf>
    <xf numFmtId="168" fontId="1" fillId="6" borderId="0" xfId="0" applyNumberFormat="1" applyFont="1" applyFill="1" applyAlignment="1">
      <alignment horizontal="right"/>
    </xf>
    <xf numFmtId="0" fontId="1" fillId="6" borderId="0" xfId="0" applyFont="1" applyFill="1"/>
    <xf numFmtId="0" fontId="25" fillId="10" borderId="0" xfId="0" applyFont="1" applyFill="1" applyAlignment="1">
      <alignment horizontal="left"/>
    </xf>
    <xf numFmtId="168" fontId="0" fillId="6" borderId="0" xfId="0" applyNumberFormat="1" applyFill="1" applyAlignment="1">
      <alignment horizontal="right"/>
    </xf>
    <xf numFmtId="0" fontId="1" fillId="9" borderId="0" xfId="0" applyFont="1" applyFill="1"/>
    <xf numFmtId="0" fontId="1" fillId="9" borderId="0" xfId="0" applyFont="1" applyFill="1" applyAlignment="1">
      <alignment horizontal="left"/>
    </xf>
    <xf numFmtId="168" fontId="1" fillId="9" borderId="0" xfId="0" applyNumberFormat="1" applyFont="1" applyFill="1" applyAlignment="1">
      <alignment horizontal="right"/>
    </xf>
    <xf numFmtId="168" fontId="1" fillId="16" borderId="0" xfId="0" applyNumberFormat="1" applyFont="1" applyFill="1"/>
    <xf numFmtId="0" fontId="1" fillId="16" borderId="18" xfId="0" applyFont="1" applyFill="1" applyBorder="1"/>
    <xf numFmtId="168" fontId="1" fillId="16" borderId="17" xfId="0" applyNumberFormat="1" applyFont="1" applyFill="1" applyBorder="1"/>
    <xf numFmtId="0" fontId="1" fillId="10" borderId="21" xfId="0" applyFont="1" applyFill="1" applyBorder="1"/>
    <xf numFmtId="0" fontId="26" fillId="10" borderId="0" xfId="0" applyFont="1" applyFill="1" applyAlignment="1">
      <alignment horizontal="left"/>
    </xf>
    <xf numFmtId="0" fontId="69" fillId="9" borderId="26" xfId="0" applyFont="1" applyFill="1" applyBorder="1" applyAlignment="1">
      <alignment horizontal="left"/>
    </xf>
    <xf numFmtId="2" fontId="0" fillId="10" borderId="0" xfId="0" applyNumberFormat="1" applyFill="1" applyAlignment="1">
      <alignment horizontal="center"/>
    </xf>
    <xf numFmtId="0" fontId="34" fillId="16" borderId="9" xfId="0" applyFont="1" applyFill="1" applyBorder="1" applyAlignment="1">
      <alignment horizontal="center" wrapText="1"/>
    </xf>
    <xf numFmtId="0" fontId="0" fillId="10" borderId="9" xfId="0" applyFill="1" applyBorder="1" applyAlignment="1">
      <alignment horizontal="center" wrapText="1"/>
    </xf>
    <xf numFmtId="0" fontId="0" fillId="3" borderId="5" xfId="0" applyFill="1" applyBorder="1" applyAlignment="1">
      <alignment horizontal="left"/>
    </xf>
    <xf numFmtId="168" fontId="25" fillId="6" borderId="0" xfId="0" applyNumberFormat="1" applyFont="1" applyFill="1" applyAlignment="1">
      <alignment horizontal="right"/>
    </xf>
    <xf numFmtId="0" fontId="25" fillId="6" borderId="0" xfId="0" applyFont="1" applyFill="1"/>
    <xf numFmtId="172" fontId="25" fillId="5" borderId="46" xfId="0" applyNumberFormat="1" applyFont="1" applyFill="1" applyBorder="1" applyAlignment="1">
      <alignment horizontal="center"/>
    </xf>
    <xf numFmtId="9" fontId="25" fillId="5" borderId="47" xfId="4" applyFont="1" applyFill="1" applyBorder="1" applyAlignment="1">
      <alignment horizontal="center"/>
    </xf>
    <xf numFmtId="0" fontId="0" fillId="10" borderId="36" xfId="0" applyFill="1" applyBorder="1" applyAlignment="1">
      <alignment horizontal="center" wrapText="1"/>
    </xf>
    <xf numFmtId="0" fontId="34" fillId="10" borderId="36" xfId="0" applyFont="1" applyFill="1" applyBorder="1" applyAlignment="1">
      <alignment horizontal="center" wrapText="1"/>
    </xf>
    <xf numFmtId="0" fontId="34" fillId="10" borderId="7" xfId="0" applyFont="1" applyFill="1" applyBorder="1" applyAlignment="1">
      <alignment horizontal="center" wrapText="1"/>
    </xf>
    <xf numFmtId="0" fontId="0" fillId="10" borderId="26" xfId="0" applyFill="1" applyBorder="1" applyAlignment="1">
      <alignment horizontal="left"/>
    </xf>
    <xf numFmtId="0" fontId="25" fillId="5" borderId="26" xfId="0" applyFont="1" applyFill="1" applyBorder="1" applyAlignment="1">
      <alignment horizontal="center"/>
    </xf>
    <xf numFmtId="2" fontId="17" fillId="12" borderId="0" xfId="0" applyNumberFormat="1" applyFont="1" applyFill="1"/>
    <xf numFmtId="193" fontId="25" fillId="5" borderId="9" xfId="0" applyNumberFormat="1" applyFont="1" applyFill="1" applyBorder="1" applyAlignment="1">
      <alignment horizontal="center"/>
    </xf>
    <xf numFmtId="0" fontId="0" fillId="15" borderId="0" xfId="0" quotePrefix="1" applyFill="1" applyAlignment="1">
      <alignment horizontal="right"/>
    </xf>
    <xf numFmtId="0" fontId="16" fillId="6" borderId="9" xfId="0" applyFont="1" applyFill="1" applyBorder="1" applyAlignment="1">
      <alignment horizontal="center"/>
    </xf>
    <xf numFmtId="0" fontId="70" fillId="6" borderId="9" xfId="0" applyFont="1" applyFill="1" applyBorder="1" applyAlignment="1">
      <alignment horizontal="center"/>
    </xf>
    <xf numFmtId="0" fontId="0" fillId="3" borderId="26" xfId="0" applyFill="1" applyBorder="1" applyAlignment="1">
      <alignment horizontal="right"/>
    </xf>
    <xf numFmtId="0" fontId="0" fillId="0" borderId="26" xfId="0" applyBorder="1"/>
    <xf numFmtId="0" fontId="5" fillId="5" borderId="0" xfId="0" applyFont="1" applyFill="1"/>
    <xf numFmtId="0" fontId="0" fillId="21" borderId="28" xfId="0" applyFill="1" applyBorder="1"/>
    <xf numFmtId="0" fontId="0" fillId="21" borderId="13" xfId="0" applyFill="1" applyBorder="1"/>
    <xf numFmtId="0" fontId="0" fillId="21" borderId="22" xfId="0" applyFill="1" applyBorder="1"/>
    <xf numFmtId="0" fontId="0" fillId="21" borderId="23" xfId="0" applyFill="1" applyBorder="1"/>
    <xf numFmtId="0" fontId="0" fillId="21" borderId="0" xfId="0" applyFill="1"/>
    <xf numFmtId="0" fontId="0" fillId="21" borderId="24" xfId="0" applyFill="1" applyBorder="1"/>
    <xf numFmtId="0" fontId="12" fillId="21" borderId="0" xfId="0" applyFont="1" applyFill="1"/>
    <xf numFmtId="0" fontId="0" fillId="21" borderId="26" xfId="0" applyFill="1" applyBorder="1"/>
    <xf numFmtId="0" fontId="0" fillId="21" borderId="27" xfId="0" applyFill="1" applyBorder="1"/>
    <xf numFmtId="0" fontId="0" fillId="14" borderId="0" xfId="0" applyFill="1"/>
    <xf numFmtId="188" fontId="6" fillId="6" borderId="36" xfId="1" applyNumberFormat="1" applyFont="1" applyFill="1" applyBorder="1"/>
    <xf numFmtId="0" fontId="6" fillId="6" borderId="8" xfId="0" applyFont="1" applyFill="1" applyBorder="1" applyAlignment="1">
      <alignment horizontal="left"/>
    </xf>
    <xf numFmtId="168" fontId="0" fillId="5" borderId="0" xfId="0" applyNumberFormat="1" applyFill="1" applyAlignment="1">
      <alignment horizontal="center"/>
    </xf>
    <xf numFmtId="1" fontId="0" fillId="5" borderId="0" xfId="0" applyNumberFormat="1" applyFill="1" applyAlignment="1">
      <alignment horizontal="center"/>
    </xf>
    <xf numFmtId="188" fontId="0" fillId="5" borderId="0" xfId="1" applyNumberFormat="1" applyFont="1" applyFill="1"/>
    <xf numFmtId="0" fontId="12" fillId="5" borderId="0" xfId="0" applyFont="1" applyFill="1" applyAlignment="1">
      <alignment horizontal="left"/>
    </xf>
    <xf numFmtId="0" fontId="0" fillId="14" borderId="36" xfId="0" applyFill="1" applyBorder="1"/>
    <xf numFmtId="0" fontId="0" fillId="14" borderId="7" xfId="0" applyFill="1" applyBorder="1"/>
    <xf numFmtId="0" fontId="0" fillId="14" borderId="8" xfId="0" applyFill="1" applyBorder="1"/>
    <xf numFmtId="168" fontId="12" fillId="6" borderId="7" xfId="0" applyNumberFormat="1" applyFont="1" applyFill="1" applyBorder="1"/>
    <xf numFmtId="0" fontId="12" fillId="6" borderId="8" xfId="0" applyFont="1" applyFill="1" applyBorder="1"/>
    <xf numFmtId="2" fontId="12" fillId="6" borderId="7" xfId="0" applyNumberFormat="1" applyFont="1" applyFill="1" applyBorder="1"/>
    <xf numFmtId="0" fontId="12" fillId="6" borderId="27" xfId="0" applyFont="1" applyFill="1" applyBorder="1"/>
    <xf numFmtId="0" fontId="9" fillId="5" borderId="4" xfId="0" applyFont="1" applyFill="1" applyBorder="1" applyAlignment="1">
      <alignment horizontal="center"/>
    </xf>
    <xf numFmtId="168" fontId="0" fillId="5" borderId="5" xfId="0" applyNumberFormat="1" applyFill="1" applyBorder="1" applyAlignment="1">
      <alignment horizontal="center"/>
    </xf>
    <xf numFmtId="0" fontId="9" fillId="5" borderId="5" xfId="0" applyFont="1" applyFill="1" applyBorder="1" applyAlignment="1">
      <alignment horizontal="center"/>
    </xf>
    <xf numFmtId="188" fontId="0" fillId="5" borderId="5" xfId="1" applyNumberFormat="1" applyFont="1" applyFill="1" applyBorder="1"/>
    <xf numFmtId="168" fontId="0" fillId="5" borderId="5" xfId="0" applyNumberFormat="1" applyFill="1" applyBorder="1"/>
    <xf numFmtId="0" fontId="9" fillId="5" borderId="5" xfId="0" applyFont="1" applyFill="1" applyBorder="1" applyAlignment="1">
      <alignment horizontal="left"/>
    </xf>
    <xf numFmtId="0" fontId="16" fillId="5" borderId="5" xfId="0" applyFont="1" applyFill="1" applyBorder="1"/>
    <xf numFmtId="0" fontId="10" fillId="3" borderId="0" xfId="0" applyFont="1" applyFill="1" applyAlignment="1">
      <alignment horizontal="centerContinuous"/>
    </xf>
    <xf numFmtId="0" fontId="71" fillId="3" borderId="0" xfId="0" applyFont="1" applyFill="1" applyAlignment="1">
      <alignment horizontal="center"/>
    </xf>
    <xf numFmtId="0" fontId="64" fillId="3" borderId="0" xfId="0" applyFont="1" applyFill="1" applyAlignment="1">
      <alignment horizontal="centerContinuous"/>
    </xf>
    <xf numFmtId="0" fontId="73" fillId="3" borderId="0" xfId="3" applyFont="1" applyFill="1"/>
    <xf numFmtId="0" fontId="73" fillId="3" borderId="0" xfId="3" applyFont="1" applyFill="1" applyAlignment="1">
      <alignment horizontal="center"/>
    </xf>
    <xf numFmtId="0" fontId="72" fillId="3" borderId="0" xfId="3" applyFill="1"/>
    <xf numFmtId="194" fontId="12" fillId="3" borderId="0" xfId="0" applyNumberFormat="1" applyFont="1" applyFill="1" applyAlignment="1">
      <alignment horizontal="center"/>
    </xf>
    <xf numFmtId="0" fontId="74" fillId="3" borderId="0" xfId="3" applyFont="1" applyFill="1" applyAlignment="1">
      <alignment wrapText="1"/>
    </xf>
    <xf numFmtId="168" fontId="9" fillId="3" borderId="0" xfId="0" applyNumberFormat="1" applyFont="1" applyFill="1" applyAlignment="1">
      <alignment horizontal="center"/>
    </xf>
    <xf numFmtId="0" fontId="0" fillId="21" borderId="25" xfId="0" applyFill="1" applyBorder="1"/>
    <xf numFmtId="194" fontId="0" fillId="3" borderId="0" xfId="0" applyNumberFormat="1" applyFill="1" applyAlignment="1">
      <alignment horizontal="center"/>
    </xf>
    <xf numFmtId="0" fontId="49" fillId="3" borderId="0" xfId="0" applyFont="1" applyFill="1"/>
    <xf numFmtId="0" fontId="12" fillId="0" borderId="0" xfId="0" applyFont="1"/>
    <xf numFmtId="0" fontId="12" fillId="3" borderId="0" xfId="0" applyFont="1" applyFill="1" applyAlignment="1">
      <alignment horizontal="center"/>
    </xf>
    <xf numFmtId="0" fontId="0" fillId="0" borderId="9" xfId="0" applyBorder="1" applyAlignment="1">
      <alignment horizontal="center" vertical="center"/>
    </xf>
    <xf numFmtId="0" fontId="6" fillId="3" borderId="0" xfId="0" applyFont="1" applyFill="1" applyAlignment="1">
      <alignment horizontal="right"/>
    </xf>
    <xf numFmtId="0" fontId="12" fillId="3" borderId="0" xfId="0" applyFont="1" applyFill="1" applyAlignment="1">
      <alignment horizontal="right"/>
    </xf>
    <xf numFmtId="168" fontId="8" fillId="5" borderId="1" xfId="0" applyNumberFormat="1" applyFont="1" applyFill="1" applyBorder="1" applyAlignment="1">
      <alignment horizontal="center"/>
    </xf>
    <xf numFmtId="191" fontId="17" fillId="6" borderId="1" xfId="0" applyNumberFormat="1" applyFont="1" applyFill="1" applyBorder="1" applyAlignment="1">
      <alignment horizontal="center"/>
    </xf>
    <xf numFmtId="168" fontId="0" fillId="0" borderId="9" xfId="0" applyNumberFormat="1" applyBorder="1" applyAlignment="1">
      <alignment horizontal="center" vertical="center"/>
    </xf>
    <xf numFmtId="0" fontId="11" fillId="3" borderId="0" xfId="0" applyFont="1" applyFill="1" applyAlignment="1">
      <alignment horizontal="center"/>
    </xf>
    <xf numFmtId="0" fontId="11" fillId="3" borderId="0" xfId="0" applyFont="1" applyFill="1" applyAlignment="1">
      <alignment horizontal="left"/>
    </xf>
    <xf numFmtId="0" fontId="6" fillId="3" borderId="0" xfId="0" applyFont="1" applyFill="1" applyAlignment="1">
      <alignment horizontal="left"/>
    </xf>
    <xf numFmtId="168" fontId="0" fillId="0" borderId="9" xfId="1" applyNumberFormat="1" applyFont="1" applyFill="1" applyBorder="1" applyAlignment="1">
      <alignment horizontal="center" vertical="center"/>
    </xf>
    <xf numFmtId="168" fontId="17" fillId="6" borderId="1" xfId="1" applyNumberFormat="1" applyFont="1" applyFill="1" applyBorder="1" applyAlignment="1">
      <alignment horizontal="center"/>
    </xf>
    <xf numFmtId="0" fontId="9" fillId="3" borderId="26" xfId="0" quotePrefix="1" applyFont="1" applyFill="1" applyBorder="1" applyAlignment="1">
      <alignment horizontal="center"/>
    </xf>
    <xf numFmtId="0" fontId="0" fillId="3" borderId="26" xfId="0" applyFill="1" applyBorder="1" applyAlignment="1">
      <alignment horizontal="center"/>
    </xf>
    <xf numFmtId="0" fontId="0" fillId="3" borderId="26" xfId="0" quotePrefix="1" applyFill="1" applyBorder="1"/>
    <xf numFmtId="0" fontId="9" fillId="3" borderId="26" xfId="0" applyFont="1" applyFill="1" applyBorder="1" applyAlignment="1">
      <alignment horizontal="center"/>
    </xf>
    <xf numFmtId="2" fontId="0" fillId="3" borderId="26" xfId="0" quotePrefix="1" applyNumberFormat="1" applyFill="1" applyBorder="1"/>
    <xf numFmtId="0" fontId="7" fillId="4" borderId="2" xfId="0" applyFont="1" applyFill="1" applyBorder="1" applyAlignment="1">
      <alignment horizontal="center"/>
    </xf>
    <xf numFmtId="0" fontId="5" fillId="4" borderId="3" xfId="0" applyFont="1" applyFill="1" applyBorder="1" applyAlignment="1">
      <alignment horizontal="center"/>
    </xf>
    <xf numFmtId="168" fontId="6" fillId="3" borderId="0" xfId="0" applyNumberFormat="1" applyFont="1" applyFill="1" applyAlignment="1">
      <alignment horizontal="center"/>
    </xf>
    <xf numFmtId="0" fontId="17" fillId="3" borderId="1" xfId="0" applyFont="1" applyFill="1" applyBorder="1" applyAlignment="1">
      <alignment horizontal="center"/>
    </xf>
    <xf numFmtId="0" fontId="29" fillId="6" borderId="1" xfId="0" applyFont="1" applyFill="1" applyBorder="1" applyAlignment="1">
      <alignment horizontal="center"/>
    </xf>
    <xf numFmtId="2" fontId="9" fillId="0" borderId="11" xfId="0" applyNumberFormat="1" applyFont="1" applyBorder="1" applyAlignment="1">
      <alignment horizontal="center"/>
    </xf>
    <xf numFmtId="0" fontId="35" fillId="3" borderId="0" xfId="0" applyFont="1" applyFill="1" applyAlignment="1">
      <alignment horizontal="left"/>
    </xf>
    <xf numFmtId="168" fontId="6" fillId="6" borderId="4" xfId="0" applyNumberFormat="1" applyFont="1" applyFill="1" applyBorder="1"/>
    <xf numFmtId="0" fontId="6" fillId="6" borderId="6" xfId="0" applyFont="1" applyFill="1" applyBorder="1"/>
    <xf numFmtId="0" fontId="75" fillId="3" borderId="0" xfId="0" applyFont="1" applyFill="1" applyAlignment="1">
      <alignment horizontal="center"/>
    </xf>
    <xf numFmtId="167" fontId="9" fillId="3" borderId="0" xfId="0" applyNumberFormat="1" applyFont="1" applyFill="1" applyAlignment="1">
      <alignment horizontal="center"/>
    </xf>
    <xf numFmtId="167" fontId="25" fillId="3" borderId="0" xfId="0" applyNumberFormat="1" applyFont="1" applyFill="1"/>
    <xf numFmtId="0" fontId="8" fillId="3" borderId="0" xfId="0" applyFont="1" applyFill="1" applyAlignment="1">
      <alignment horizontal="center"/>
    </xf>
    <xf numFmtId="167" fontId="17" fillId="3" borderId="0" xfId="0" applyNumberFormat="1" applyFont="1" applyFill="1"/>
    <xf numFmtId="0" fontId="1" fillId="3" borderId="0" xfId="0" applyFont="1" applyFill="1" applyAlignment="1">
      <alignment horizontal="left"/>
    </xf>
    <xf numFmtId="167" fontId="1" fillId="6" borderId="6" xfId="0" applyNumberFormat="1" applyFont="1" applyFill="1" applyBorder="1" applyAlignment="1">
      <alignment horizontal="center"/>
    </xf>
    <xf numFmtId="0" fontId="1" fillId="0" borderId="9" xfId="0" applyFont="1" applyBorder="1" applyAlignment="1">
      <alignment horizontal="center" vertical="center"/>
    </xf>
    <xf numFmtId="0" fontId="76" fillId="6" borderId="1" xfId="0" applyFont="1" applyFill="1" applyBorder="1" applyAlignment="1">
      <alignment horizontal="center"/>
    </xf>
    <xf numFmtId="0" fontId="17" fillId="6" borderId="8" xfId="0" applyFont="1" applyFill="1" applyBorder="1" applyAlignment="1">
      <alignment horizontal="center"/>
    </xf>
    <xf numFmtId="169" fontId="70" fillId="6" borderId="36" xfId="1" applyNumberFormat="1" applyFont="1" applyFill="1" applyBorder="1"/>
    <xf numFmtId="0" fontId="17" fillId="6" borderId="6" xfId="0" applyFont="1" applyFill="1" applyBorder="1" applyAlignment="1">
      <alignment horizontal="left"/>
    </xf>
    <xf numFmtId="188" fontId="17" fillId="6" borderId="4" xfId="1" applyNumberFormat="1" applyFont="1" applyFill="1" applyBorder="1"/>
    <xf numFmtId="168" fontId="12" fillId="3" borderId="0" xfId="1" applyNumberFormat="1" applyFont="1" applyFill="1" applyBorder="1" applyAlignment="1">
      <alignment horizontal="left"/>
    </xf>
    <xf numFmtId="167" fontId="25" fillId="5" borderId="4" xfId="0" applyNumberFormat="1" applyFont="1" applyFill="1" applyBorder="1"/>
    <xf numFmtId="0" fontId="0" fillId="6" borderId="12" xfId="0" applyFill="1" applyBorder="1" applyAlignment="1">
      <alignment horizontal="center"/>
    </xf>
    <xf numFmtId="167" fontId="25" fillId="5" borderId="1" xfId="0" applyNumberFormat="1" applyFont="1" applyFill="1" applyBorder="1" applyAlignment="1">
      <alignment horizontal="center"/>
    </xf>
    <xf numFmtId="167" fontId="0" fillId="3" borderId="0" xfId="0" applyNumberFormat="1" applyFill="1"/>
    <xf numFmtId="167" fontId="29" fillId="3" borderId="0" xfId="0" applyNumberFormat="1" applyFont="1" applyFill="1" applyAlignment="1">
      <alignment horizontal="center"/>
    </xf>
    <xf numFmtId="167" fontId="6" fillId="17" borderId="9" xfId="0" applyNumberFormat="1" applyFont="1" applyFill="1" applyBorder="1"/>
    <xf numFmtId="167" fontId="6" fillId="17" borderId="9" xfId="0" applyNumberFormat="1" applyFont="1" applyFill="1" applyBorder="1" applyAlignment="1">
      <alignment horizontal="center"/>
    </xf>
    <xf numFmtId="167" fontId="0" fillId="4" borderId="4" xfId="0" applyNumberFormat="1" applyFill="1" applyBorder="1"/>
    <xf numFmtId="167" fontId="29" fillId="4" borderId="1" xfId="0" applyNumberFormat="1" applyFont="1" applyFill="1" applyBorder="1" applyAlignment="1">
      <alignment horizontal="center"/>
    </xf>
    <xf numFmtId="0" fontId="6" fillId="3" borderId="39" xfId="0" applyFont="1" applyFill="1" applyBorder="1"/>
    <xf numFmtId="0" fontId="15" fillId="3" borderId="39" xfId="0" applyFont="1" applyFill="1" applyBorder="1"/>
    <xf numFmtId="0" fontId="0" fillId="3" borderId="23" xfId="0" quotePrefix="1" applyFill="1" applyBorder="1"/>
    <xf numFmtId="0" fontId="24" fillId="3" borderId="0" xfId="0" applyFont="1" applyFill="1"/>
    <xf numFmtId="0" fontId="35" fillId="4" borderId="0" xfId="0" applyFont="1" applyFill="1"/>
    <xf numFmtId="0" fontId="17" fillId="3" borderId="23" xfId="0" applyFont="1" applyFill="1" applyBorder="1"/>
    <xf numFmtId="0" fontId="17" fillId="3" borderId="0" xfId="0" applyFont="1" applyFill="1" applyAlignment="1">
      <alignment horizontal="center"/>
    </xf>
    <xf numFmtId="0" fontId="0" fillId="5" borderId="26" xfId="0" applyFill="1" applyBorder="1"/>
    <xf numFmtId="0" fontId="42" fillId="3" borderId="0" xfId="0" applyFont="1" applyFill="1"/>
    <xf numFmtId="0" fontId="78" fillId="5" borderId="0" xfId="0" applyFont="1" applyFill="1" applyAlignment="1">
      <alignment horizontal="left"/>
    </xf>
    <xf numFmtId="0" fontId="78" fillId="5" borderId="0" xfId="0" applyFont="1" applyFill="1"/>
    <xf numFmtId="3" fontId="9" fillId="0" borderId="10" xfId="0" applyNumberFormat="1" applyFont="1" applyBorder="1" applyAlignment="1">
      <alignment horizontal="center"/>
    </xf>
    <xf numFmtId="0" fontId="9" fillId="0" borderId="12" xfId="0" applyFont="1" applyBorder="1" applyAlignment="1">
      <alignment horizontal="center"/>
    </xf>
    <xf numFmtId="0" fontId="8" fillId="5" borderId="36" xfId="0" applyFont="1" applyFill="1" applyBorder="1" applyAlignment="1">
      <alignment horizontal="center"/>
    </xf>
    <xf numFmtId="167" fontId="16" fillId="6" borderId="1" xfId="0" applyNumberFormat="1" applyFont="1" applyFill="1" applyBorder="1" applyAlignment="1">
      <alignment horizontal="center"/>
    </xf>
    <xf numFmtId="2" fontId="12" fillId="3" borderId="0" xfId="0" applyNumberFormat="1" applyFont="1" applyFill="1" applyAlignment="1">
      <alignment horizontal="center"/>
    </xf>
    <xf numFmtId="0" fontId="79" fillId="8" borderId="9" xfId="0" applyFont="1" applyFill="1" applyBorder="1" applyAlignment="1">
      <alignment horizontal="center"/>
    </xf>
    <xf numFmtId="0" fontId="6" fillId="8" borderId="5" xfId="0" applyFont="1" applyFill="1" applyBorder="1" applyAlignment="1">
      <alignment horizontal="center"/>
    </xf>
    <xf numFmtId="0" fontId="79" fillId="8" borderId="4" xfId="0" applyFont="1" applyFill="1" applyBorder="1" applyAlignment="1">
      <alignment horizontal="left"/>
    </xf>
    <xf numFmtId="0" fontId="29" fillId="8" borderId="9" xfId="0" applyFont="1" applyFill="1" applyBorder="1" applyAlignment="1">
      <alignment horizontal="center"/>
    </xf>
    <xf numFmtId="168" fontId="1" fillId="3" borderId="0" xfId="0" applyNumberFormat="1" applyFont="1" applyFill="1" applyAlignment="1">
      <alignment horizontal="left"/>
    </xf>
    <xf numFmtId="167" fontId="1" fillId="17" borderId="1" xfId="0" applyNumberFormat="1" applyFont="1" applyFill="1" applyBorder="1" applyAlignment="1">
      <alignment horizontal="center"/>
    </xf>
    <xf numFmtId="0" fontId="6" fillId="14" borderId="48" xfId="0" applyFont="1" applyFill="1" applyBorder="1" applyAlignment="1">
      <alignment horizontal="center"/>
    </xf>
    <xf numFmtId="0" fontId="36" fillId="14" borderId="3" xfId="0" applyFont="1" applyFill="1" applyBorder="1" applyAlignment="1">
      <alignment horizontal="center"/>
    </xf>
    <xf numFmtId="195" fontId="29" fillId="6" borderId="4" xfId="1" applyNumberFormat="1" applyFont="1" applyFill="1" applyBorder="1"/>
    <xf numFmtId="195" fontId="0" fillId="0" borderId="9" xfId="0" applyNumberFormat="1" applyBorder="1" applyAlignment="1">
      <alignment horizontal="center" vertical="center"/>
    </xf>
    <xf numFmtId="0" fontId="34" fillId="4" borderId="36" xfId="0" applyFont="1" applyFill="1" applyBorder="1"/>
    <xf numFmtId="0" fontId="1" fillId="4" borderId="36" xfId="0" applyFont="1" applyFill="1" applyBorder="1"/>
    <xf numFmtId="168" fontId="9" fillId="5" borderId="7" xfId="0" applyNumberFormat="1" applyFont="1" applyFill="1" applyBorder="1"/>
    <xf numFmtId="0" fontId="42" fillId="6" borderId="8" xfId="0" applyFont="1" applyFill="1" applyBorder="1"/>
    <xf numFmtId="0" fontId="25" fillId="5" borderId="8" xfId="0" applyFont="1" applyFill="1" applyBorder="1"/>
    <xf numFmtId="168" fontId="12" fillId="6" borderId="26" xfId="0" applyNumberFormat="1" applyFont="1" applyFill="1" applyBorder="1"/>
    <xf numFmtId="0" fontId="17" fillId="6" borderId="9" xfId="0" applyFont="1" applyFill="1" applyBorder="1" applyAlignment="1">
      <alignment horizontal="center" vertical="center"/>
    </xf>
    <xf numFmtId="169" fontId="17" fillId="6" borderId="4" xfId="1" applyNumberFormat="1" applyFont="1" applyFill="1" applyBorder="1" applyAlignment="1">
      <alignment horizontal="center" vertical="center"/>
    </xf>
    <xf numFmtId="0" fontId="12" fillId="8" borderId="9" xfId="0" applyFont="1" applyFill="1" applyBorder="1" applyAlignment="1">
      <alignment horizontal="center"/>
    </xf>
    <xf numFmtId="0" fontId="12" fillId="8" borderId="4" xfId="0" applyFont="1" applyFill="1" applyBorder="1"/>
    <xf numFmtId="2" fontId="29" fillId="6" borderId="3" xfId="0" applyNumberFormat="1" applyFont="1" applyFill="1" applyBorder="1" applyAlignment="1">
      <alignment horizontal="center"/>
    </xf>
    <xf numFmtId="165" fontId="12" fillId="8" borderId="9" xfId="0" applyNumberFormat="1" applyFont="1" applyFill="1" applyBorder="1" applyAlignment="1">
      <alignment horizontal="center"/>
    </xf>
    <xf numFmtId="2" fontId="0" fillId="8" borderId="9" xfId="0" applyNumberFormat="1" applyFill="1" applyBorder="1" applyAlignment="1">
      <alignment horizontal="center"/>
    </xf>
    <xf numFmtId="0" fontId="0" fillId="17" borderId="15" xfId="0" applyFill="1" applyBorder="1"/>
    <xf numFmtId="0" fontId="25" fillId="5" borderId="1" xfId="0" applyFont="1" applyFill="1" applyBorder="1"/>
    <xf numFmtId="0" fontId="81" fillId="6" borderId="1" xfId="0" applyFont="1" applyFill="1" applyBorder="1" applyAlignment="1">
      <alignment horizontal="center"/>
    </xf>
    <xf numFmtId="0" fontId="82" fillId="5" borderId="1" xfId="0" applyFont="1" applyFill="1" applyBorder="1" applyAlignment="1">
      <alignment horizontal="center"/>
    </xf>
    <xf numFmtId="2" fontId="6" fillId="8" borderId="0" xfId="0" applyNumberFormat="1" applyFont="1" applyFill="1"/>
    <xf numFmtId="2" fontId="6" fillId="14" borderId="0" xfId="0" applyNumberFormat="1" applyFont="1" applyFill="1"/>
    <xf numFmtId="2" fontId="6" fillId="6" borderId="0" xfId="0" applyNumberFormat="1" applyFont="1" applyFill="1"/>
    <xf numFmtId="2" fontId="0" fillId="8" borderId="0" xfId="0" applyNumberFormat="1" applyFill="1"/>
    <xf numFmtId="2" fontId="0" fillId="8" borderId="20" xfId="0" applyNumberFormat="1" applyFill="1" applyBorder="1"/>
    <xf numFmtId="167" fontId="54" fillId="3" borderId="0" xfId="0" applyNumberFormat="1" applyFont="1" applyFill="1" applyAlignment="1">
      <alignment horizontal="center"/>
    </xf>
    <xf numFmtId="0" fontId="0" fillId="3" borderId="4" xfId="0" applyFill="1" applyBorder="1" applyAlignment="1">
      <alignment horizontal="center"/>
    </xf>
    <xf numFmtId="2" fontId="0" fillId="17" borderId="12" xfId="0" applyNumberFormat="1" applyFill="1" applyBorder="1"/>
    <xf numFmtId="2" fontId="0" fillId="17" borderId="10" xfId="0" applyNumberFormat="1" applyFill="1" applyBorder="1" applyAlignment="1">
      <alignment horizontal="center"/>
    </xf>
    <xf numFmtId="196" fontId="7" fillId="4" borderId="1" xfId="0" applyNumberFormat="1" applyFont="1" applyFill="1" applyBorder="1" applyAlignment="1">
      <alignment horizontal="center"/>
    </xf>
    <xf numFmtId="1" fontId="9" fillId="5" borderId="4" xfId="0" applyNumberFormat="1" applyFont="1" applyFill="1" applyBorder="1"/>
    <xf numFmtId="14" fontId="6" fillId="4" borderId="26" xfId="0" applyNumberFormat="1" applyFont="1" applyFill="1" applyBorder="1"/>
    <xf numFmtId="14" fontId="6" fillId="4" borderId="7" xfId="0" applyNumberFormat="1" applyFont="1" applyFill="1" applyBorder="1"/>
    <xf numFmtId="14" fontId="6" fillId="7" borderId="0" xfId="0" applyNumberFormat="1" applyFont="1" applyFill="1"/>
    <xf numFmtId="14" fontId="6" fillId="7" borderId="0" xfId="0" applyNumberFormat="1" applyFont="1" applyFill="1" applyAlignment="1">
      <alignment horizontal="left"/>
    </xf>
    <xf numFmtId="14" fontId="6" fillId="4" borderId="0" xfId="0" applyNumberFormat="1" applyFont="1" applyFill="1"/>
    <xf numFmtId="0" fontId="9" fillId="5" borderId="9" xfId="0" applyFont="1" applyFill="1" applyBorder="1"/>
    <xf numFmtId="0" fontId="9" fillId="5" borderId="4" xfId="0" applyFont="1" applyFill="1" applyBorder="1" applyAlignment="1">
      <alignment horizontal="left"/>
    </xf>
    <xf numFmtId="168" fontId="1" fillId="9" borderId="0" xfId="0" applyNumberFormat="1" applyFont="1" applyFill="1"/>
    <xf numFmtId="168" fontId="0" fillId="9" borderId="0" xfId="0" applyNumberFormat="1" applyFill="1" applyAlignment="1">
      <alignment horizontal="center" vertical="center"/>
    </xf>
    <xf numFmtId="2" fontId="94" fillId="22" borderId="1" xfId="0" applyNumberFormat="1" applyFont="1" applyFill="1" applyBorder="1" applyAlignment="1">
      <alignment horizontal="center"/>
    </xf>
  </cellXfs>
  <cellStyles count="5">
    <cellStyle name="Comma" xfId="1" builtinId="3"/>
    <cellStyle name="Hyperlink" xfId="2" builtinId="8"/>
    <cellStyle name="Normal" xfId="0" builtinId="0"/>
    <cellStyle name="Normal_Orbital Parameters" xfId="3" xr:uid="{00000000-0005-0000-0000-000003000000}"/>
    <cellStyle name="Percent" xfId="4" builtinId="5"/>
  </cellStyles>
  <dxfs count="12">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ont>
        <condense val="0"/>
        <extend val="0"/>
        <color indexed="10"/>
      </font>
      <fill>
        <patternFill>
          <bgColor indexed="10"/>
        </patternFill>
      </fill>
    </dxf>
    <dxf>
      <font>
        <condense val="0"/>
        <extend val="0"/>
        <color indexed="11"/>
      </font>
      <fill>
        <patternFill>
          <bgColor indexed="11"/>
        </patternFill>
      </fill>
    </dxf>
    <dxf>
      <fill>
        <patternFill>
          <bgColor indexed="10"/>
        </patternFill>
      </fill>
    </dxf>
    <dxf>
      <fill>
        <patternFill>
          <bgColor indexed="11"/>
        </patternFill>
      </fill>
    </dxf>
    <dxf>
      <fill>
        <patternFill>
          <bgColor indexed="10"/>
        </patternFill>
      </fill>
    </dxf>
    <dxf>
      <font>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754023514484653E-2"/>
          <c:y val="2.2613065326633167E-2"/>
          <c:w val="0.96485723348604058"/>
          <c:h val="0.92211055276381915"/>
        </c:manualLayout>
      </c:layout>
      <c:scatterChart>
        <c:scatterStyle val="smoothMarker"/>
        <c:varyColors val="0"/>
        <c:ser>
          <c:idx val="0"/>
          <c:order val="0"/>
          <c:spPr>
            <a:ln w="38100">
              <a:solidFill>
                <a:srgbClr val="008080"/>
              </a:solidFill>
              <a:prstDash val="solid"/>
            </a:ln>
          </c:spPr>
          <c:marker>
            <c:symbol val="none"/>
          </c:marker>
          <c:xVal>
            <c:numRef>
              <c:f>'Orbit Shape Data'!$C$3:$C$79</c:f>
              <c:numCache>
                <c:formatCode>General</c:formatCode>
                <c:ptCount val="77"/>
                <c:pt idx="0">
                  <c:v>-1.9</c:v>
                </c:pt>
                <c:pt idx="1">
                  <c:v>-1.8499999999999999</c:v>
                </c:pt>
                <c:pt idx="2">
                  <c:v>-1.7999999999999998</c:v>
                </c:pt>
                <c:pt idx="3">
                  <c:v>-1.7499999999999998</c:v>
                </c:pt>
                <c:pt idx="4">
                  <c:v>-1.6999999999999997</c:v>
                </c:pt>
                <c:pt idx="5">
                  <c:v>-1.6499999999999997</c:v>
                </c:pt>
                <c:pt idx="6">
                  <c:v>-1.5999999999999996</c:v>
                </c:pt>
                <c:pt idx="7">
                  <c:v>-1.5499999999999996</c:v>
                </c:pt>
                <c:pt idx="8">
                  <c:v>-1.4999999999999996</c:v>
                </c:pt>
                <c:pt idx="9">
                  <c:v>-1.4499999999999995</c:v>
                </c:pt>
                <c:pt idx="10">
                  <c:v>-1.3999999999999995</c:v>
                </c:pt>
                <c:pt idx="11">
                  <c:v>-1.3499999999999994</c:v>
                </c:pt>
                <c:pt idx="12">
                  <c:v>-1.2999999999999994</c:v>
                </c:pt>
                <c:pt idx="13">
                  <c:v>-1.2499999999999993</c:v>
                </c:pt>
                <c:pt idx="14">
                  <c:v>-1.1999999999999993</c:v>
                </c:pt>
                <c:pt idx="15">
                  <c:v>-1.1499999999999992</c:v>
                </c:pt>
                <c:pt idx="16">
                  <c:v>-1.0999999999999992</c:v>
                </c:pt>
                <c:pt idx="17">
                  <c:v>-1.0499999999999992</c:v>
                </c:pt>
                <c:pt idx="18">
                  <c:v>-0.99999999999999911</c:v>
                </c:pt>
                <c:pt idx="19">
                  <c:v>-0.94999999999999907</c:v>
                </c:pt>
                <c:pt idx="20">
                  <c:v>-0.89999999999999902</c:v>
                </c:pt>
                <c:pt idx="21">
                  <c:v>-0.84999999999999898</c:v>
                </c:pt>
                <c:pt idx="22">
                  <c:v>-0.79999999999999893</c:v>
                </c:pt>
                <c:pt idx="23">
                  <c:v>-0.74999999999999889</c:v>
                </c:pt>
                <c:pt idx="24">
                  <c:v>-0.69999999999999885</c:v>
                </c:pt>
                <c:pt idx="25">
                  <c:v>-0.6499999999999988</c:v>
                </c:pt>
                <c:pt idx="26">
                  <c:v>-0.59999999999999876</c:v>
                </c:pt>
                <c:pt idx="27">
                  <c:v>-0.54999999999999871</c:v>
                </c:pt>
                <c:pt idx="28">
                  <c:v>-0.49999999999999872</c:v>
                </c:pt>
                <c:pt idx="29">
                  <c:v>-0.44999999999999873</c:v>
                </c:pt>
                <c:pt idx="30">
                  <c:v>-0.39999999999999875</c:v>
                </c:pt>
                <c:pt idx="31">
                  <c:v>-0.34999999999999876</c:v>
                </c:pt>
                <c:pt idx="32">
                  <c:v>-0.29999999999999877</c:v>
                </c:pt>
                <c:pt idx="33">
                  <c:v>-0.24999999999999878</c:v>
                </c:pt>
                <c:pt idx="34">
                  <c:v>-0.19999999999999879</c:v>
                </c:pt>
                <c:pt idx="35">
                  <c:v>-0.1499999999999988</c:v>
                </c:pt>
                <c:pt idx="36">
                  <c:v>-9.9999999999998798E-2</c:v>
                </c:pt>
                <c:pt idx="37">
                  <c:v>-4.9999999999998795E-2</c:v>
                </c:pt>
                <c:pt idx="38">
                  <c:v>0</c:v>
                </c:pt>
                <c:pt idx="39">
                  <c:v>0.05</c:v>
                </c:pt>
                <c:pt idx="40">
                  <c:v>0.1</c:v>
                </c:pt>
                <c:pt idx="41">
                  <c:v>0.15000000000000002</c:v>
                </c:pt>
                <c:pt idx="42">
                  <c:v>0.2</c:v>
                </c:pt>
                <c:pt idx="43">
                  <c:v>0.25</c:v>
                </c:pt>
                <c:pt idx="44">
                  <c:v>0.3</c:v>
                </c:pt>
                <c:pt idx="45">
                  <c:v>0.35</c:v>
                </c:pt>
                <c:pt idx="46">
                  <c:v>0.39999999999999997</c:v>
                </c:pt>
                <c:pt idx="47">
                  <c:v>0.44999999999999996</c:v>
                </c:pt>
                <c:pt idx="48">
                  <c:v>0.49999999999999994</c:v>
                </c:pt>
                <c:pt idx="49">
                  <c:v>0.54999999999999993</c:v>
                </c:pt>
                <c:pt idx="50">
                  <c:v>0.6</c:v>
                </c:pt>
                <c:pt idx="51">
                  <c:v>0.65</c:v>
                </c:pt>
                <c:pt idx="52">
                  <c:v>0.70000000000000007</c:v>
                </c:pt>
                <c:pt idx="53">
                  <c:v>0.75000000000000011</c:v>
                </c:pt>
                <c:pt idx="54">
                  <c:v>0.80000000000000016</c:v>
                </c:pt>
                <c:pt idx="55">
                  <c:v>0.8500000000000002</c:v>
                </c:pt>
                <c:pt idx="56">
                  <c:v>0.90000000000000024</c:v>
                </c:pt>
                <c:pt idx="57">
                  <c:v>0.95000000000000029</c:v>
                </c:pt>
                <c:pt idx="58">
                  <c:v>1.0000000000000002</c:v>
                </c:pt>
                <c:pt idx="59">
                  <c:v>1.0500000000000003</c:v>
                </c:pt>
                <c:pt idx="60">
                  <c:v>1.1000000000000003</c:v>
                </c:pt>
                <c:pt idx="61">
                  <c:v>1.1500000000000004</c:v>
                </c:pt>
                <c:pt idx="62">
                  <c:v>1.2000000000000004</c:v>
                </c:pt>
                <c:pt idx="63">
                  <c:v>1.2500000000000004</c:v>
                </c:pt>
                <c:pt idx="64">
                  <c:v>1.3000000000000005</c:v>
                </c:pt>
                <c:pt idx="65">
                  <c:v>1.3500000000000005</c:v>
                </c:pt>
                <c:pt idx="66">
                  <c:v>1.4000000000000006</c:v>
                </c:pt>
                <c:pt idx="67">
                  <c:v>1.4500000000000006</c:v>
                </c:pt>
                <c:pt idx="68">
                  <c:v>1.5000000000000007</c:v>
                </c:pt>
                <c:pt idx="69">
                  <c:v>1.5500000000000007</c:v>
                </c:pt>
                <c:pt idx="70">
                  <c:v>1.6000000000000008</c:v>
                </c:pt>
                <c:pt idx="71">
                  <c:v>1.6500000000000008</c:v>
                </c:pt>
                <c:pt idx="72">
                  <c:v>1.7000000000000008</c:v>
                </c:pt>
                <c:pt idx="73">
                  <c:v>1.7500000000000009</c:v>
                </c:pt>
                <c:pt idx="74">
                  <c:v>1.8000000000000009</c:v>
                </c:pt>
                <c:pt idx="75">
                  <c:v>1.850000000000001</c:v>
                </c:pt>
                <c:pt idx="76">
                  <c:v>1.900000000000001</c:v>
                </c:pt>
              </c:numCache>
            </c:numRef>
          </c:xVal>
          <c:yVal>
            <c:numRef>
              <c:f>'Orbit Shape Data'!$B$3:$B$79</c:f>
              <c:numCache>
                <c:formatCode>General</c:formatCode>
                <c:ptCount val="77"/>
                <c:pt idx="0">
                  <c:v>3.5199431813596083</c:v>
                </c:pt>
                <c:pt idx="1">
                  <c:v>3.5464771252610667</c:v>
                </c:pt>
                <c:pt idx="2">
                  <c:v>3.5721142198983507</c:v>
                </c:pt>
                <c:pt idx="3">
                  <c:v>3.5968736424845398</c:v>
                </c:pt>
                <c:pt idx="4">
                  <c:v>3.6207733980463348</c:v>
                </c:pt>
                <c:pt idx="5">
                  <c:v>3.6438304022004098</c:v>
                </c:pt>
                <c:pt idx="6">
                  <c:v>3.6660605559646724</c:v>
                </c:pt>
                <c:pt idx="7">
                  <c:v>3.6874788134984584</c:v>
                </c:pt>
                <c:pt idx="8">
                  <c:v>3.7080992435478319</c:v>
                </c:pt>
                <c:pt idx="9">
                  <c:v>3.7279350852717381</c:v>
                </c:pt>
                <c:pt idx="10">
                  <c:v>3.746998799039039</c:v>
                </c:pt>
                <c:pt idx="11">
                  <c:v>3.7653021127128699</c:v>
                </c:pt>
                <c:pt idx="12">
                  <c:v>3.7828560638755477</c:v>
                </c:pt>
                <c:pt idx="13">
                  <c:v>3.799671038392666</c:v>
                </c:pt>
                <c:pt idx="14">
                  <c:v>3.8157568056677831</c:v>
                </c:pt>
                <c:pt idx="15">
                  <c:v>3.8311225508981051</c:v>
                </c:pt>
                <c:pt idx="16">
                  <c:v>3.8457769046058825</c:v>
                </c:pt>
                <c:pt idx="17">
                  <c:v>3.8597279696890556</c:v>
                </c:pt>
                <c:pt idx="18">
                  <c:v>3.872983346207417</c:v>
                </c:pt>
                <c:pt idx="19">
                  <c:v>3.885550154096586</c:v>
                </c:pt>
                <c:pt idx="20">
                  <c:v>3.8974350539810154</c:v>
                </c:pt>
                <c:pt idx="21">
                  <c:v>3.9086442662386149</c:v>
                </c:pt>
                <c:pt idx="22">
                  <c:v>3.9191835884530852</c:v>
                </c:pt>
                <c:pt idx="23">
                  <c:v>3.9290584113754279</c:v>
                </c:pt>
                <c:pt idx="24">
                  <c:v>3.9382737335030433</c:v>
                </c:pt>
                <c:pt idx="25">
                  <c:v>3.9468341743731776</c:v>
                </c:pt>
                <c:pt idx="26">
                  <c:v>3.954743986657038</c:v>
                </c:pt>
                <c:pt idx="27">
                  <c:v>3.9620070671315064</c:v>
                </c:pt>
                <c:pt idx="28">
                  <c:v>3.9686269665968861</c:v>
                </c:pt>
                <c:pt idx="29">
                  <c:v>3.97460689880144</c:v>
                </c:pt>
                <c:pt idx="30">
                  <c:v>3.9799497484264799</c:v>
                </c:pt>
                <c:pt idx="31">
                  <c:v>3.9846580781793564</c:v>
                </c:pt>
                <c:pt idx="32">
                  <c:v>3.9887341350358261</c:v>
                </c:pt>
                <c:pt idx="33">
                  <c:v>3.9921798556678278</c:v>
                </c:pt>
                <c:pt idx="34">
                  <c:v>3.9949968710876358</c:v>
                </c:pt>
                <c:pt idx="35">
                  <c:v>3.9971865105346285</c:v>
                </c:pt>
                <c:pt idx="36">
                  <c:v>3.9987498046264411</c:v>
                </c:pt>
                <c:pt idx="37">
                  <c:v>3.999687487792015</c:v>
                </c:pt>
                <c:pt idx="38" formatCode="0.000000">
                  <c:v>4</c:v>
                </c:pt>
                <c:pt idx="39">
                  <c:v>3.999687487792015</c:v>
                </c:pt>
                <c:pt idx="40">
                  <c:v>3.9987498046264411</c:v>
                </c:pt>
                <c:pt idx="41">
                  <c:v>3.9971865105346285</c:v>
                </c:pt>
                <c:pt idx="42">
                  <c:v>3.9949968710876358</c:v>
                </c:pt>
                <c:pt idx="43">
                  <c:v>3.9921798556678278</c:v>
                </c:pt>
                <c:pt idx="44">
                  <c:v>3.9887341350358261</c:v>
                </c:pt>
                <c:pt idx="45">
                  <c:v>3.9846580781793559</c:v>
                </c:pt>
                <c:pt idx="46">
                  <c:v>3.9799497484264799</c:v>
                </c:pt>
                <c:pt idx="47">
                  <c:v>3.97460689880144</c:v>
                </c:pt>
                <c:pt idx="48">
                  <c:v>3.9686269665968861</c:v>
                </c:pt>
                <c:pt idx="49">
                  <c:v>3.9620070671315064</c:v>
                </c:pt>
                <c:pt idx="50">
                  <c:v>3.954743986657038</c:v>
                </c:pt>
                <c:pt idx="51">
                  <c:v>3.9468341743731772</c:v>
                </c:pt>
                <c:pt idx="52">
                  <c:v>3.9382737335030433</c:v>
                </c:pt>
                <c:pt idx="53">
                  <c:v>3.9290584113754279</c:v>
                </c:pt>
                <c:pt idx="54">
                  <c:v>3.9191835884530848</c:v>
                </c:pt>
                <c:pt idx="55">
                  <c:v>3.9086442662386149</c:v>
                </c:pt>
                <c:pt idx="56">
                  <c:v>3.8974350539810154</c:v>
                </c:pt>
                <c:pt idx="57">
                  <c:v>3.8855501540965856</c:v>
                </c:pt>
                <c:pt idx="58">
                  <c:v>3.872983346207417</c:v>
                </c:pt>
                <c:pt idx="59">
                  <c:v>3.8597279696890556</c:v>
                </c:pt>
                <c:pt idx="60">
                  <c:v>3.8457769046058821</c:v>
                </c:pt>
                <c:pt idx="61">
                  <c:v>3.8311225508981046</c:v>
                </c:pt>
                <c:pt idx="62">
                  <c:v>3.8157568056677826</c:v>
                </c:pt>
                <c:pt idx="63">
                  <c:v>3.7996710383926655</c:v>
                </c:pt>
                <c:pt idx="64">
                  <c:v>3.7828560638755473</c:v>
                </c:pt>
                <c:pt idx="65">
                  <c:v>3.7653021127128694</c:v>
                </c:pt>
                <c:pt idx="66">
                  <c:v>3.746998799039039</c:v>
                </c:pt>
                <c:pt idx="67">
                  <c:v>3.7279350852717377</c:v>
                </c:pt>
                <c:pt idx="68">
                  <c:v>3.708099243547831</c:v>
                </c:pt>
                <c:pt idx="69">
                  <c:v>3.6874788134984584</c:v>
                </c:pt>
                <c:pt idx="70">
                  <c:v>3.6660605559646715</c:v>
                </c:pt>
                <c:pt idx="71">
                  <c:v>3.6438304022004093</c:v>
                </c:pt>
                <c:pt idx="72">
                  <c:v>3.6207733980463344</c:v>
                </c:pt>
                <c:pt idx="73">
                  <c:v>3.5968736424845393</c:v>
                </c:pt>
                <c:pt idx="74">
                  <c:v>3.5721142198983498</c:v>
                </c:pt>
                <c:pt idx="75">
                  <c:v>3.5464771252610663</c:v>
                </c:pt>
                <c:pt idx="76">
                  <c:v>3.5199431813596078</c:v>
                </c:pt>
              </c:numCache>
            </c:numRef>
          </c:yVal>
          <c:smooth val="1"/>
          <c:extLst>
            <c:ext xmlns:c16="http://schemas.microsoft.com/office/drawing/2014/chart" uri="{C3380CC4-5D6E-409C-BE32-E72D297353CC}">
              <c16:uniqueId val="{00000000-3C76-ED4F-AF55-92C3C1FDD645}"/>
            </c:ext>
          </c:extLst>
        </c:ser>
        <c:ser>
          <c:idx val="1"/>
          <c:order val="1"/>
          <c:spPr>
            <a:ln w="25400">
              <a:solidFill>
                <a:srgbClr val="0000FF"/>
              </a:solidFill>
              <a:prstDash val="solid"/>
            </a:ln>
          </c:spPr>
          <c:marker>
            <c:symbol val="none"/>
          </c:marker>
          <c:xVal>
            <c:numRef>
              <c:f>'Orbit Shape Data'!$F$3:$F$79</c:f>
              <c:numCache>
                <c:formatCode>General</c:formatCode>
                <c:ptCount val="77"/>
                <c:pt idx="0">
                  <c:v>-1.9</c:v>
                </c:pt>
                <c:pt idx="1">
                  <c:v>-1.8499999999999999</c:v>
                </c:pt>
                <c:pt idx="2">
                  <c:v>-1.7999999999999998</c:v>
                </c:pt>
                <c:pt idx="3">
                  <c:v>-1.7499999999999998</c:v>
                </c:pt>
                <c:pt idx="4">
                  <c:v>-1.6999999999999997</c:v>
                </c:pt>
                <c:pt idx="5">
                  <c:v>-1.6499999999999997</c:v>
                </c:pt>
                <c:pt idx="6">
                  <c:v>-1.5999999999999996</c:v>
                </c:pt>
                <c:pt idx="7">
                  <c:v>-1.5499999999999996</c:v>
                </c:pt>
                <c:pt idx="8">
                  <c:v>-1.4999999999999996</c:v>
                </c:pt>
                <c:pt idx="9">
                  <c:v>-1.4499999999999995</c:v>
                </c:pt>
                <c:pt idx="10">
                  <c:v>-1.3999999999999995</c:v>
                </c:pt>
                <c:pt idx="11">
                  <c:v>-1.3499999999999994</c:v>
                </c:pt>
                <c:pt idx="12">
                  <c:v>-1.2999999999999994</c:v>
                </c:pt>
                <c:pt idx="13">
                  <c:v>-1.2499999999999993</c:v>
                </c:pt>
                <c:pt idx="14">
                  <c:v>-1.1999999999999993</c:v>
                </c:pt>
                <c:pt idx="15">
                  <c:v>-1.1499999999999992</c:v>
                </c:pt>
                <c:pt idx="16">
                  <c:v>-1.0999999999999992</c:v>
                </c:pt>
                <c:pt idx="17">
                  <c:v>-1.0499999999999992</c:v>
                </c:pt>
                <c:pt idx="18">
                  <c:v>-0.99999999999999911</c:v>
                </c:pt>
                <c:pt idx="19">
                  <c:v>-0.94999999999999907</c:v>
                </c:pt>
                <c:pt idx="20">
                  <c:v>-0.89999999999999902</c:v>
                </c:pt>
                <c:pt idx="21">
                  <c:v>-0.84999999999999898</c:v>
                </c:pt>
                <c:pt idx="22">
                  <c:v>-0.79999999999999893</c:v>
                </c:pt>
                <c:pt idx="23">
                  <c:v>-0.74999999999999889</c:v>
                </c:pt>
                <c:pt idx="24">
                  <c:v>-0.69999999999999885</c:v>
                </c:pt>
                <c:pt idx="25">
                  <c:v>-0.6499999999999988</c:v>
                </c:pt>
                <c:pt idx="26">
                  <c:v>-0.59999999999999876</c:v>
                </c:pt>
                <c:pt idx="27">
                  <c:v>-0.54999999999999871</c:v>
                </c:pt>
                <c:pt idx="28">
                  <c:v>-0.49999999999999872</c:v>
                </c:pt>
                <c:pt idx="29">
                  <c:v>-0.44999999999999873</c:v>
                </c:pt>
                <c:pt idx="30">
                  <c:v>-0.39999999999999875</c:v>
                </c:pt>
                <c:pt idx="31">
                  <c:v>-0.34999999999999876</c:v>
                </c:pt>
                <c:pt idx="32">
                  <c:v>-0.29999999999999877</c:v>
                </c:pt>
                <c:pt idx="33">
                  <c:v>-0.24999999999999878</c:v>
                </c:pt>
                <c:pt idx="34">
                  <c:v>-0.19999999999999879</c:v>
                </c:pt>
                <c:pt idx="35">
                  <c:v>-0.1499999999999988</c:v>
                </c:pt>
                <c:pt idx="36">
                  <c:v>-9.9999999999998798E-2</c:v>
                </c:pt>
                <c:pt idx="37">
                  <c:v>-4.9999999999998795E-2</c:v>
                </c:pt>
                <c:pt idx="38">
                  <c:v>0</c:v>
                </c:pt>
                <c:pt idx="39">
                  <c:v>0.05</c:v>
                </c:pt>
                <c:pt idx="40">
                  <c:v>0.1</c:v>
                </c:pt>
                <c:pt idx="41">
                  <c:v>0.15000000000000002</c:v>
                </c:pt>
                <c:pt idx="42">
                  <c:v>0.2</c:v>
                </c:pt>
                <c:pt idx="43">
                  <c:v>0.25</c:v>
                </c:pt>
                <c:pt idx="44">
                  <c:v>0.3</c:v>
                </c:pt>
                <c:pt idx="45">
                  <c:v>0.35</c:v>
                </c:pt>
                <c:pt idx="46">
                  <c:v>0.39999999999999997</c:v>
                </c:pt>
                <c:pt idx="47">
                  <c:v>0.44999999999999996</c:v>
                </c:pt>
                <c:pt idx="48">
                  <c:v>0.49999999999999994</c:v>
                </c:pt>
                <c:pt idx="49">
                  <c:v>0.54999999999999993</c:v>
                </c:pt>
                <c:pt idx="50">
                  <c:v>0.6</c:v>
                </c:pt>
                <c:pt idx="51">
                  <c:v>0.65</c:v>
                </c:pt>
                <c:pt idx="52">
                  <c:v>0.70000000000000007</c:v>
                </c:pt>
                <c:pt idx="53">
                  <c:v>0.75000000000000011</c:v>
                </c:pt>
                <c:pt idx="54">
                  <c:v>0.80000000000000016</c:v>
                </c:pt>
                <c:pt idx="55">
                  <c:v>0.8500000000000002</c:v>
                </c:pt>
                <c:pt idx="56">
                  <c:v>0.90000000000000024</c:v>
                </c:pt>
                <c:pt idx="57">
                  <c:v>0.95000000000000029</c:v>
                </c:pt>
                <c:pt idx="58">
                  <c:v>1.0000000000000002</c:v>
                </c:pt>
                <c:pt idx="59">
                  <c:v>1.0500000000000003</c:v>
                </c:pt>
                <c:pt idx="60">
                  <c:v>1.1000000000000003</c:v>
                </c:pt>
                <c:pt idx="61">
                  <c:v>1.1500000000000004</c:v>
                </c:pt>
                <c:pt idx="62">
                  <c:v>1.2000000000000004</c:v>
                </c:pt>
                <c:pt idx="63">
                  <c:v>1.2500000000000004</c:v>
                </c:pt>
                <c:pt idx="64">
                  <c:v>1.3000000000000005</c:v>
                </c:pt>
                <c:pt idx="65">
                  <c:v>1.3500000000000005</c:v>
                </c:pt>
                <c:pt idx="66">
                  <c:v>1.4000000000000006</c:v>
                </c:pt>
                <c:pt idx="67">
                  <c:v>1.4500000000000006</c:v>
                </c:pt>
                <c:pt idx="68">
                  <c:v>1.5000000000000007</c:v>
                </c:pt>
                <c:pt idx="69">
                  <c:v>1.5500000000000007</c:v>
                </c:pt>
                <c:pt idx="70">
                  <c:v>1.6000000000000008</c:v>
                </c:pt>
                <c:pt idx="71">
                  <c:v>1.6500000000000008</c:v>
                </c:pt>
                <c:pt idx="72">
                  <c:v>1.7000000000000008</c:v>
                </c:pt>
                <c:pt idx="73">
                  <c:v>1.7500000000000009</c:v>
                </c:pt>
                <c:pt idx="74">
                  <c:v>1.8000000000000009</c:v>
                </c:pt>
                <c:pt idx="75">
                  <c:v>1.850000000000001</c:v>
                </c:pt>
                <c:pt idx="76">
                  <c:v>1.900000000000001</c:v>
                </c:pt>
              </c:numCache>
            </c:numRef>
          </c:xVal>
          <c:yVal>
            <c:numRef>
              <c:f>'Orbit Shape Data'!$E$3:$E$79</c:f>
              <c:numCache>
                <c:formatCode>General</c:formatCode>
                <c:ptCount val="77"/>
                <c:pt idx="0">
                  <c:v>3.5745629103430252</c:v>
                </c:pt>
                <c:pt idx="1">
                  <c:v>3.6</c:v>
                </c:pt>
                <c:pt idx="2">
                  <c:v>3.6245689398878866</c:v>
                </c:pt>
                <c:pt idx="3">
                  <c:v>3.6482872693909401</c:v>
                </c:pt>
                <c:pt idx="4">
                  <c:v>3.6711714751561253</c:v>
                </c:pt>
                <c:pt idx="5">
                  <c:v>3.6932370625238775</c:v>
                </c:pt>
                <c:pt idx="6">
                  <c:v>3.7144986202716512</c:v>
                </c:pt>
                <c:pt idx="7">
                  <c:v>3.73496987939662</c:v>
                </c:pt>
                <c:pt idx="8">
                  <c:v>3.7546637665708498</c:v>
                </c:pt>
                <c:pt idx="9">
                  <c:v>3.7735924528226414</c:v>
                </c:pt>
                <c:pt idx="10">
                  <c:v>3.7917673979293616</c:v>
                </c:pt>
                <c:pt idx="11">
                  <c:v>3.8091993909481823</c:v>
                </c:pt>
                <c:pt idx="12">
                  <c:v>3.8258985872602533</c:v>
                </c:pt>
                <c:pt idx="13">
                  <c:v>3.8418745424597094</c:v>
                </c:pt>
                <c:pt idx="14">
                  <c:v>3.8571362433805731</c:v>
                </c:pt>
                <c:pt idx="15">
                  <c:v>3.871692136521188</c:v>
                </c:pt>
                <c:pt idx="16">
                  <c:v>3.8855501540965856</c:v>
                </c:pt>
                <c:pt idx="17">
                  <c:v>3.8987177379235858</c:v>
                </c:pt>
                <c:pt idx="18">
                  <c:v>3.9112018613208908</c:v>
                </c:pt>
                <c:pt idx="19">
                  <c:v>3.9230090491866063</c:v>
                </c:pt>
                <c:pt idx="20">
                  <c:v>3.9341453963980539</c:v>
                </c:pt>
                <c:pt idx="21">
                  <c:v>3.944616584663204</c:v>
                </c:pt>
                <c:pt idx="22">
                  <c:v>3.9544278979392202</c:v>
                </c:pt>
                <c:pt idx="23">
                  <c:v>3.963584236521283</c:v>
                </c:pt>
                <c:pt idx="24">
                  <c:v>3.9720901298938323</c:v>
                </c:pt>
                <c:pt idx="25" formatCode="0.000000">
                  <c:v>3.9799497484264799</c:v>
                </c:pt>
                <c:pt idx="26">
                  <c:v>3.987166913987926</c:v>
                </c:pt>
                <c:pt idx="27">
                  <c:v>3.993745109543172</c:v>
                </c:pt>
                <c:pt idx="28">
                  <c:v>3.999687487792015</c:v>
                </c:pt>
                <c:pt idx="29">
                  <c:v>4.0049968789001573</c:v>
                </c:pt>
                <c:pt idx="30">
                  <c:v>4.0096757973681614</c:v>
                </c:pt>
                <c:pt idx="31">
                  <c:v>4.0137264480778958</c:v>
                </c:pt>
                <c:pt idx="32">
                  <c:v>4.0171507315509087</c:v>
                </c:pt>
                <c:pt idx="33">
                  <c:v>4.0199502484483558</c:v>
                </c:pt>
                <c:pt idx="34">
                  <c:v>4.0221263033375765</c:v>
                </c:pt>
                <c:pt idx="35">
                  <c:v>4.0236799077461418</c:v>
                </c:pt>
                <c:pt idx="36">
                  <c:v>4.0246117825201475</c:v>
                </c:pt>
                <c:pt idx="37">
                  <c:v>4.0249223594996213</c:v>
                </c:pt>
                <c:pt idx="38">
                  <c:v>4.0249223594996213</c:v>
                </c:pt>
                <c:pt idx="39">
                  <c:v>4.0246117825201475</c:v>
                </c:pt>
                <c:pt idx="40">
                  <c:v>4.0236799077461418</c:v>
                </c:pt>
                <c:pt idx="41">
                  <c:v>4.0221263033375765</c:v>
                </c:pt>
                <c:pt idx="42">
                  <c:v>4.0199502484483558</c:v>
                </c:pt>
                <c:pt idx="43">
                  <c:v>4.0171507315509087</c:v>
                </c:pt>
                <c:pt idx="44">
                  <c:v>4.0137264480778958</c:v>
                </c:pt>
                <c:pt idx="45">
                  <c:v>4.0096757973681614</c:v>
                </c:pt>
                <c:pt idx="46">
                  <c:v>4.0049968789001573</c:v>
                </c:pt>
                <c:pt idx="47">
                  <c:v>3.999687487792015</c:v>
                </c:pt>
                <c:pt idx="48">
                  <c:v>3.9937451095431715</c:v>
                </c:pt>
                <c:pt idx="49">
                  <c:v>3.9871669139879256</c:v>
                </c:pt>
                <c:pt idx="50">
                  <c:v>3.9799497484264799</c:v>
                </c:pt>
                <c:pt idx="51">
                  <c:v>3.9720901298938323</c:v>
                </c:pt>
                <c:pt idx="52">
                  <c:v>3.9635842365212826</c:v>
                </c:pt>
                <c:pt idx="53">
                  <c:v>3.9544278979392202</c:v>
                </c:pt>
                <c:pt idx="54">
                  <c:v>3.944616584663204</c:v>
                </c:pt>
                <c:pt idx="55">
                  <c:v>3.9341453963980535</c:v>
                </c:pt>
                <c:pt idx="56">
                  <c:v>3.9230090491866059</c:v>
                </c:pt>
                <c:pt idx="57">
                  <c:v>3.9112018613208908</c:v>
                </c:pt>
                <c:pt idx="58">
                  <c:v>3.8987177379235853</c:v>
                </c:pt>
                <c:pt idx="59">
                  <c:v>3.8855501540965856</c:v>
                </c:pt>
                <c:pt idx="60">
                  <c:v>3.8716921365211876</c:v>
                </c:pt>
                <c:pt idx="61">
                  <c:v>3.8571362433805727</c:v>
                </c:pt>
                <c:pt idx="62">
                  <c:v>3.8418745424597089</c:v>
                </c:pt>
                <c:pt idx="63">
                  <c:v>3.8258985872602529</c:v>
                </c:pt>
                <c:pt idx="64">
                  <c:v>3.8091993909481818</c:v>
                </c:pt>
                <c:pt idx="65">
                  <c:v>3.7917673979293611</c:v>
                </c:pt>
                <c:pt idx="66">
                  <c:v>3.7735924528226414</c:v>
                </c:pt>
                <c:pt idx="67">
                  <c:v>3.7546637665708493</c:v>
                </c:pt>
                <c:pt idx="68">
                  <c:v>3.7349698793966195</c:v>
                </c:pt>
                <c:pt idx="69">
                  <c:v>3.7144986202716508</c:v>
                </c:pt>
                <c:pt idx="70">
                  <c:v>3.6932370625238771</c:v>
                </c:pt>
                <c:pt idx="71">
                  <c:v>3.6711714751561244</c:v>
                </c:pt>
                <c:pt idx="72">
                  <c:v>3.6482872693909396</c:v>
                </c:pt>
                <c:pt idx="73">
                  <c:v>3.6245689398878862</c:v>
                </c:pt>
                <c:pt idx="74">
                  <c:v>3.5999999999999992</c:v>
                </c:pt>
                <c:pt idx="75">
                  <c:v>3.5745629103430248</c:v>
                </c:pt>
                <c:pt idx="76">
                  <c:v>3.5482389998420336</c:v>
                </c:pt>
              </c:numCache>
            </c:numRef>
          </c:yVal>
          <c:smooth val="1"/>
          <c:extLst>
            <c:ext xmlns:c16="http://schemas.microsoft.com/office/drawing/2014/chart" uri="{C3380CC4-5D6E-409C-BE32-E72D297353CC}">
              <c16:uniqueId val="{00000001-3C76-ED4F-AF55-92C3C1FDD645}"/>
            </c:ext>
          </c:extLst>
        </c:ser>
        <c:dLbls>
          <c:showLegendKey val="0"/>
          <c:showVal val="0"/>
          <c:showCatName val="0"/>
          <c:showSerName val="0"/>
          <c:showPercent val="0"/>
          <c:showBubbleSize val="0"/>
        </c:dLbls>
        <c:axId val="2138998768"/>
        <c:axId val="1"/>
      </c:scatterChart>
      <c:valAx>
        <c:axId val="2138998768"/>
        <c:scaling>
          <c:orientation val="minMax"/>
          <c:max val="0.3"/>
          <c:min val="-0.3"/>
        </c:scaling>
        <c:delete val="1"/>
        <c:axPos val="b"/>
        <c:numFmt formatCode="General" sourceLinked="1"/>
        <c:majorTickMark val="out"/>
        <c:minorTickMark val="none"/>
        <c:tickLblPos val="nextTo"/>
        <c:crossAx val="1"/>
        <c:crossesAt val="3.95"/>
        <c:crossBetween val="midCat"/>
      </c:valAx>
      <c:valAx>
        <c:axId val="1"/>
        <c:scaling>
          <c:orientation val="minMax"/>
          <c:max val="4.03"/>
          <c:min val="3.98"/>
        </c:scaling>
        <c:delete val="1"/>
        <c:axPos val="l"/>
        <c:numFmt formatCode="General" sourceLinked="1"/>
        <c:majorTickMark val="out"/>
        <c:minorTickMark val="none"/>
        <c:tickLblPos val="nextTo"/>
        <c:crossAx val="2138998768"/>
        <c:crosses val="autoZero"/>
        <c:crossBetween val="midCat"/>
        <c:majorUnit val="0.01"/>
        <c:minorUnit val="2E-3"/>
      </c:valAx>
      <c:spPr>
        <a:solidFill>
          <a:srgbClr val="C0C0C0"/>
        </a:solidFill>
        <a:ln w="12700">
          <a:solidFill>
            <a:srgbClr val="808080"/>
          </a:solidFill>
          <a:prstDash val="solid"/>
        </a:ln>
      </c:spPr>
    </c:plotArea>
    <c:plotVisOnly val="1"/>
    <c:dispBlanksAs val="gap"/>
    <c:showDLblsOverMax val="0"/>
  </c:chart>
  <c:spPr>
    <a:solidFill>
      <a:srgbClr val="969696"/>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0" b="1" i="0" u="none" strike="noStrike" baseline="0">
                <a:solidFill>
                  <a:srgbClr val="000000"/>
                </a:solidFill>
                <a:latin typeface="Arial"/>
                <a:ea typeface="Arial"/>
                <a:cs typeface="Arial"/>
              </a:defRPr>
            </a:pPr>
            <a:r>
              <a:rPr lang="en-US"/>
              <a:t>Turnstyle Gain in RHCP and LHCP</a:t>
            </a:r>
          </a:p>
        </c:rich>
      </c:tx>
      <c:layout>
        <c:manualLayout>
          <c:xMode val="edge"/>
          <c:yMode val="edge"/>
          <c:x val="0.15577190542420027"/>
          <c:y val="7.1428571428571426E-3"/>
        </c:manualLayout>
      </c:layout>
      <c:overlay val="0"/>
      <c:spPr>
        <a:noFill/>
        <a:ln w="25400">
          <a:noFill/>
        </a:ln>
      </c:spPr>
    </c:title>
    <c:autoTitleDeleted val="0"/>
    <c:plotArea>
      <c:layout>
        <c:manualLayout>
          <c:layoutTarget val="inner"/>
          <c:xMode val="edge"/>
          <c:yMode val="edge"/>
          <c:x val="0.28789986091794156"/>
          <c:y val="0.29571449198834543"/>
          <c:w val="0.42559109874826145"/>
          <c:h val="0.43714316206972803"/>
        </c:manualLayout>
      </c:layout>
      <c:radarChart>
        <c:radarStyle val="marker"/>
        <c:varyColors val="0"/>
        <c:ser>
          <c:idx val="1"/>
          <c:order val="0"/>
          <c:tx>
            <c:v>RHCP Gain</c:v>
          </c:tx>
          <c:spPr>
            <a:ln w="38100">
              <a:solidFill>
                <a:srgbClr val="0000FF"/>
              </a:solidFill>
              <a:prstDash val="solid"/>
            </a:ln>
          </c:spPr>
          <c:marker>
            <c:symbol val="none"/>
          </c:marker>
          <c:cat>
            <c:numRef>
              <c:f>'Antenna Patterns'!$C$99:$C$170</c:f>
              <c:numCache>
                <c:formatCode>General</c:formatCode>
                <c:ptCount val="7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numCache>
            </c:numRef>
          </c:cat>
          <c:val>
            <c:numRef>
              <c:f>'Antenna Patterns'!$D$99:$D$171</c:f>
              <c:numCache>
                <c:formatCode>0.0</c:formatCode>
                <c:ptCount val="73"/>
                <c:pt idx="0">
                  <c:v>2</c:v>
                </c:pt>
                <c:pt idx="1">
                  <c:v>1.98125</c:v>
                </c:pt>
                <c:pt idx="2">
                  <c:v>1.925</c:v>
                </c:pt>
                <c:pt idx="3">
                  <c:v>1.83125</c:v>
                </c:pt>
                <c:pt idx="4">
                  <c:v>1.7</c:v>
                </c:pt>
                <c:pt idx="5">
                  <c:v>1.53125</c:v>
                </c:pt>
                <c:pt idx="6">
                  <c:v>1.325</c:v>
                </c:pt>
                <c:pt idx="7">
                  <c:v>1.0812499999999998</c:v>
                </c:pt>
                <c:pt idx="8">
                  <c:v>0.8</c:v>
                </c:pt>
                <c:pt idx="9">
                  <c:v>0.48124999999999996</c:v>
                </c:pt>
                <c:pt idx="10">
                  <c:v>0.125</c:v>
                </c:pt>
                <c:pt idx="11">
                  <c:v>-0.26875000000000027</c:v>
                </c:pt>
                <c:pt idx="12">
                  <c:v>-0.70000000000000018</c:v>
                </c:pt>
                <c:pt idx="13">
                  <c:v>-1.1687500000000002</c:v>
                </c:pt>
                <c:pt idx="14">
                  <c:v>-1.6750000000000003</c:v>
                </c:pt>
                <c:pt idx="15">
                  <c:v>-2.21875</c:v>
                </c:pt>
                <c:pt idx="16">
                  <c:v>-2.8</c:v>
                </c:pt>
                <c:pt idx="17">
                  <c:v>-3.4187500000000002</c:v>
                </c:pt>
                <c:pt idx="18">
                  <c:v>-4.0750000000000002</c:v>
                </c:pt>
                <c:pt idx="19">
                  <c:v>-4.7687499999999998</c:v>
                </c:pt>
                <c:pt idx="20">
                  <c:v>-5.5</c:v>
                </c:pt>
                <c:pt idx="21">
                  <c:v>-6.2687500000000007</c:v>
                </c:pt>
                <c:pt idx="22">
                  <c:v>-7.0750000000000011</c:v>
                </c:pt>
                <c:pt idx="23">
                  <c:v>-7.9187500000000011</c:v>
                </c:pt>
                <c:pt idx="24">
                  <c:v>-8.8000000000000007</c:v>
                </c:pt>
                <c:pt idx="25">
                  <c:v>-9.71875</c:v>
                </c:pt>
                <c:pt idx="26">
                  <c:v>-10.675000000000001</c:v>
                </c:pt>
                <c:pt idx="27">
                  <c:v>-11.668750000000001</c:v>
                </c:pt>
                <c:pt idx="28">
                  <c:v>-12.700000000000001</c:v>
                </c:pt>
                <c:pt idx="29">
                  <c:v>-13.768750000000001</c:v>
                </c:pt>
                <c:pt idx="30">
                  <c:v>-14.875</c:v>
                </c:pt>
                <c:pt idx="31">
                  <c:v>-16.018750000000001</c:v>
                </c:pt>
                <c:pt idx="32">
                  <c:v>-17.2</c:v>
                </c:pt>
                <c:pt idx="33">
                  <c:v>-18.418749999999999</c:v>
                </c:pt>
                <c:pt idx="34">
                  <c:v>-19.675000000000001</c:v>
                </c:pt>
                <c:pt idx="35">
                  <c:v>-20.96875</c:v>
                </c:pt>
                <c:pt idx="36">
                  <c:v>-22.3</c:v>
                </c:pt>
                <c:pt idx="37">
                  <c:v>-20.96875</c:v>
                </c:pt>
                <c:pt idx="38">
                  <c:v>-19.675000000000001</c:v>
                </c:pt>
                <c:pt idx="39">
                  <c:v>-18.418749999999999</c:v>
                </c:pt>
                <c:pt idx="40">
                  <c:v>-17.2</c:v>
                </c:pt>
                <c:pt idx="41">
                  <c:v>-16.018750000000001</c:v>
                </c:pt>
                <c:pt idx="42">
                  <c:v>-14.875</c:v>
                </c:pt>
                <c:pt idx="43">
                  <c:v>-13.768750000000001</c:v>
                </c:pt>
                <c:pt idx="44">
                  <c:v>-12.700000000000001</c:v>
                </c:pt>
                <c:pt idx="45">
                  <c:v>-11.668750000000001</c:v>
                </c:pt>
                <c:pt idx="46">
                  <c:v>-10.675000000000001</c:v>
                </c:pt>
                <c:pt idx="47">
                  <c:v>-9.71875</c:v>
                </c:pt>
                <c:pt idx="48">
                  <c:v>-8.8000000000000007</c:v>
                </c:pt>
                <c:pt idx="49">
                  <c:v>-7.9187500000000011</c:v>
                </c:pt>
                <c:pt idx="50">
                  <c:v>-7.0750000000000011</c:v>
                </c:pt>
                <c:pt idx="51">
                  <c:v>-6.2687500000000007</c:v>
                </c:pt>
                <c:pt idx="52">
                  <c:v>-5.5</c:v>
                </c:pt>
                <c:pt idx="53">
                  <c:v>-4.7687499999999998</c:v>
                </c:pt>
                <c:pt idx="54">
                  <c:v>-4.0750000000000002</c:v>
                </c:pt>
                <c:pt idx="55">
                  <c:v>-3.4187500000000002</c:v>
                </c:pt>
                <c:pt idx="56">
                  <c:v>-2.8</c:v>
                </c:pt>
                <c:pt idx="57">
                  <c:v>-2.21875</c:v>
                </c:pt>
                <c:pt idx="58">
                  <c:v>-1.6750000000000003</c:v>
                </c:pt>
                <c:pt idx="59">
                  <c:v>-1.1687500000000002</c:v>
                </c:pt>
                <c:pt idx="60">
                  <c:v>-0.70000000000000018</c:v>
                </c:pt>
                <c:pt idx="61">
                  <c:v>-0.26875000000000027</c:v>
                </c:pt>
                <c:pt idx="62">
                  <c:v>0.125</c:v>
                </c:pt>
                <c:pt idx="63">
                  <c:v>0.48124999999999996</c:v>
                </c:pt>
                <c:pt idx="64">
                  <c:v>0.8</c:v>
                </c:pt>
                <c:pt idx="65">
                  <c:v>1.0812499999999998</c:v>
                </c:pt>
                <c:pt idx="66">
                  <c:v>1.325</c:v>
                </c:pt>
                <c:pt idx="67">
                  <c:v>1.53125</c:v>
                </c:pt>
                <c:pt idx="68">
                  <c:v>1.7</c:v>
                </c:pt>
                <c:pt idx="69">
                  <c:v>1.83125</c:v>
                </c:pt>
                <c:pt idx="70">
                  <c:v>1.925</c:v>
                </c:pt>
                <c:pt idx="71">
                  <c:v>1.98125</c:v>
                </c:pt>
                <c:pt idx="72">
                  <c:v>2</c:v>
                </c:pt>
              </c:numCache>
            </c:numRef>
          </c:val>
          <c:extLst>
            <c:ext xmlns:c16="http://schemas.microsoft.com/office/drawing/2014/chart" uri="{C3380CC4-5D6E-409C-BE32-E72D297353CC}">
              <c16:uniqueId val="{00000000-D3FF-B84C-96C0-7B172981E8D5}"/>
            </c:ext>
          </c:extLst>
        </c:ser>
        <c:ser>
          <c:idx val="2"/>
          <c:order val="1"/>
          <c:tx>
            <c:v>LHCP Gain</c:v>
          </c:tx>
          <c:spPr>
            <a:ln w="38100">
              <a:solidFill>
                <a:srgbClr val="FF0000"/>
              </a:solidFill>
              <a:prstDash val="solid"/>
            </a:ln>
          </c:spPr>
          <c:marker>
            <c:symbol val="none"/>
          </c:marker>
          <c:cat>
            <c:numRef>
              <c:f>'Antenna Patterns'!$C$99:$C$170</c:f>
              <c:numCache>
                <c:formatCode>General</c:formatCode>
                <c:ptCount val="7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numCache>
            </c:numRef>
          </c:cat>
          <c:val>
            <c:numRef>
              <c:f>'Antenna Patterns'!$E$99:$E$171</c:f>
              <c:numCache>
                <c:formatCode>0.0</c:formatCode>
                <c:ptCount val="73"/>
                <c:pt idx="0">
                  <c:v>-23.8</c:v>
                </c:pt>
                <c:pt idx="1">
                  <c:v>-22.46875</c:v>
                </c:pt>
                <c:pt idx="2">
                  <c:v>-21.175000000000001</c:v>
                </c:pt>
                <c:pt idx="3">
                  <c:v>-19.918749999999999</c:v>
                </c:pt>
                <c:pt idx="4">
                  <c:v>-18.7</c:v>
                </c:pt>
                <c:pt idx="5">
                  <c:v>-17.518750000000001</c:v>
                </c:pt>
                <c:pt idx="6">
                  <c:v>-16.375</c:v>
                </c:pt>
                <c:pt idx="7">
                  <c:v>-15.268750000000001</c:v>
                </c:pt>
                <c:pt idx="8">
                  <c:v>-14.200000000000001</c:v>
                </c:pt>
                <c:pt idx="9">
                  <c:v>-13.168750000000001</c:v>
                </c:pt>
                <c:pt idx="10">
                  <c:v>-12.175000000000001</c:v>
                </c:pt>
                <c:pt idx="11">
                  <c:v>-11.21875</c:v>
                </c:pt>
                <c:pt idx="12">
                  <c:v>-10.3</c:v>
                </c:pt>
                <c:pt idx="13">
                  <c:v>-9.4187500000000011</c:v>
                </c:pt>
                <c:pt idx="14">
                  <c:v>-8.5750000000000011</c:v>
                </c:pt>
                <c:pt idx="15">
                  <c:v>-7.7687500000000007</c:v>
                </c:pt>
                <c:pt idx="16">
                  <c:v>-7</c:v>
                </c:pt>
                <c:pt idx="17">
                  <c:v>-6.2687499999999998</c:v>
                </c:pt>
                <c:pt idx="18">
                  <c:v>-5.5750000000000002</c:v>
                </c:pt>
                <c:pt idx="19">
                  <c:v>-4.9187500000000002</c:v>
                </c:pt>
                <c:pt idx="20">
                  <c:v>-4.3</c:v>
                </c:pt>
                <c:pt idx="21">
                  <c:v>-3.71875</c:v>
                </c:pt>
                <c:pt idx="22">
                  <c:v>-3.1750000000000003</c:v>
                </c:pt>
                <c:pt idx="23">
                  <c:v>-2.6687500000000002</c:v>
                </c:pt>
                <c:pt idx="24">
                  <c:v>-2.2000000000000002</c:v>
                </c:pt>
                <c:pt idx="25">
                  <c:v>-1.7687500000000003</c:v>
                </c:pt>
                <c:pt idx="26">
                  <c:v>-1.375</c:v>
                </c:pt>
                <c:pt idx="27">
                  <c:v>-1.01875</c:v>
                </c:pt>
                <c:pt idx="28">
                  <c:v>-0.7</c:v>
                </c:pt>
                <c:pt idx="29">
                  <c:v>-0.41875000000000007</c:v>
                </c:pt>
                <c:pt idx="30">
                  <c:v>-0.17500000000000004</c:v>
                </c:pt>
                <c:pt idx="31">
                  <c:v>3.125E-2</c:v>
                </c:pt>
                <c:pt idx="32">
                  <c:v>0.2</c:v>
                </c:pt>
                <c:pt idx="33">
                  <c:v>0.33124999999999999</c:v>
                </c:pt>
                <c:pt idx="34">
                  <c:v>0.42499999999999999</c:v>
                </c:pt>
                <c:pt idx="35" formatCode="0.00">
                  <c:v>0.48125000000000001</c:v>
                </c:pt>
                <c:pt idx="36">
                  <c:v>0.5</c:v>
                </c:pt>
                <c:pt idx="37" formatCode="0.00">
                  <c:v>0.48125000000000001</c:v>
                </c:pt>
                <c:pt idx="38" formatCode="0.00">
                  <c:v>0.42499999999999999</c:v>
                </c:pt>
                <c:pt idx="39" formatCode="0.00">
                  <c:v>0.33124999999999999</c:v>
                </c:pt>
                <c:pt idx="40" formatCode="0.00">
                  <c:v>0.2</c:v>
                </c:pt>
                <c:pt idx="41" formatCode="0.00">
                  <c:v>3.125E-2</c:v>
                </c:pt>
                <c:pt idx="42" formatCode="0.00">
                  <c:v>-0.17500000000000004</c:v>
                </c:pt>
                <c:pt idx="43" formatCode="0.00">
                  <c:v>-0.41875000000000007</c:v>
                </c:pt>
                <c:pt idx="44" formatCode="0.00">
                  <c:v>-0.7</c:v>
                </c:pt>
                <c:pt idx="45" formatCode="0.00">
                  <c:v>-1.01875</c:v>
                </c:pt>
                <c:pt idx="46" formatCode="0.00">
                  <c:v>-1.375</c:v>
                </c:pt>
                <c:pt idx="47" formatCode="0.00">
                  <c:v>-1.7687500000000003</c:v>
                </c:pt>
                <c:pt idx="48" formatCode="0.00">
                  <c:v>-2.2000000000000002</c:v>
                </c:pt>
                <c:pt idx="49" formatCode="0.00">
                  <c:v>-2.6687500000000002</c:v>
                </c:pt>
                <c:pt idx="50" formatCode="0.00">
                  <c:v>-3.1750000000000003</c:v>
                </c:pt>
                <c:pt idx="51" formatCode="0.00">
                  <c:v>-3.71875</c:v>
                </c:pt>
                <c:pt idx="52" formatCode="0.00">
                  <c:v>-4.3</c:v>
                </c:pt>
                <c:pt idx="53" formatCode="0.00">
                  <c:v>-4.9187500000000002</c:v>
                </c:pt>
                <c:pt idx="54" formatCode="0.00">
                  <c:v>-5.5750000000000002</c:v>
                </c:pt>
                <c:pt idx="55" formatCode="0.00">
                  <c:v>-6.2687499999999998</c:v>
                </c:pt>
                <c:pt idx="56" formatCode="0.00">
                  <c:v>-7</c:v>
                </c:pt>
                <c:pt idx="57" formatCode="0.00">
                  <c:v>-7.7687500000000007</c:v>
                </c:pt>
                <c:pt idx="58" formatCode="0.00">
                  <c:v>-8.5750000000000011</c:v>
                </c:pt>
                <c:pt idx="59" formatCode="0.00">
                  <c:v>-9.4187500000000011</c:v>
                </c:pt>
                <c:pt idx="60" formatCode="0.00">
                  <c:v>-10.3</c:v>
                </c:pt>
                <c:pt idx="61" formatCode="0.00">
                  <c:v>-11.21875</c:v>
                </c:pt>
                <c:pt idx="62" formatCode="0.00">
                  <c:v>-12.175000000000001</c:v>
                </c:pt>
                <c:pt idx="63" formatCode="0.00">
                  <c:v>-13.168750000000001</c:v>
                </c:pt>
                <c:pt idx="64" formatCode="0.00">
                  <c:v>-14.200000000000001</c:v>
                </c:pt>
                <c:pt idx="65" formatCode="0.00">
                  <c:v>-15.268750000000001</c:v>
                </c:pt>
                <c:pt idx="66" formatCode="0.00">
                  <c:v>-16.375</c:v>
                </c:pt>
                <c:pt idx="67" formatCode="0.00">
                  <c:v>-17.518750000000001</c:v>
                </c:pt>
                <c:pt idx="68" formatCode="0.00">
                  <c:v>-18.7</c:v>
                </c:pt>
                <c:pt idx="69" formatCode="0.00">
                  <c:v>-19.918749999999999</c:v>
                </c:pt>
                <c:pt idx="70" formatCode="0.00">
                  <c:v>-21.175000000000001</c:v>
                </c:pt>
                <c:pt idx="71" formatCode="0.00">
                  <c:v>-22.46875</c:v>
                </c:pt>
                <c:pt idx="72" formatCode="0.00">
                  <c:v>-23.8</c:v>
                </c:pt>
              </c:numCache>
            </c:numRef>
          </c:val>
          <c:extLst>
            <c:ext xmlns:c16="http://schemas.microsoft.com/office/drawing/2014/chart" uri="{C3380CC4-5D6E-409C-BE32-E72D297353CC}">
              <c16:uniqueId val="{00000001-D3FF-B84C-96C0-7B172981E8D5}"/>
            </c:ext>
          </c:extLst>
        </c:ser>
        <c:dLbls>
          <c:showLegendKey val="0"/>
          <c:showVal val="0"/>
          <c:showCatName val="0"/>
          <c:showSerName val="0"/>
          <c:showPercent val="0"/>
          <c:showBubbleSize val="0"/>
        </c:dLbls>
        <c:axId val="379119024"/>
        <c:axId val="1"/>
      </c:radarChart>
      <c:catAx>
        <c:axId val="379119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in val="-40"/>
        </c:scaling>
        <c:delete val="0"/>
        <c:axPos val="l"/>
        <c:majorGridlines>
          <c:spPr>
            <a:ln w="3175">
              <a:solidFill>
                <a:srgbClr val="000000"/>
              </a:solidFill>
              <a:prstDash val="solid"/>
            </a:ln>
          </c:spPr>
        </c:majorGridlines>
        <c:numFmt formatCode="General"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9119024"/>
        <c:crosses val="autoZero"/>
        <c:crossBetween val="between"/>
        <c:majorUnit val="5"/>
        <c:minorUnit val="1"/>
      </c:valAx>
      <c:spPr>
        <a:solidFill>
          <a:srgbClr val="CCFFCC"/>
        </a:solidFill>
        <a:ln w="25400">
          <a:noFill/>
        </a:ln>
      </c:spPr>
    </c:plotArea>
    <c:legend>
      <c:legendPos val="r"/>
      <c:legendEntry>
        <c:idx val="0"/>
        <c:txPr>
          <a:bodyPr/>
          <a:lstStyle/>
          <a:p>
            <a:pPr>
              <a:defRPr sz="1180" b="0" i="0" u="none" strike="noStrike" baseline="0">
                <a:solidFill>
                  <a:srgbClr val="000000"/>
                </a:solidFill>
                <a:latin typeface="Arial"/>
                <a:ea typeface="Arial"/>
                <a:cs typeface="Arial"/>
              </a:defRPr>
            </a:pPr>
            <a:endParaRPr lang="en-US"/>
          </a:p>
        </c:txPr>
      </c:legendEntry>
      <c:legendEntry>
        <c:idx val="1"/>
        <c:txPr>
          <a:bodyPr/>
          <a:lstStyle/>
          <a:p>
            <a:pPr>
              <a:defRPr sz="1180" b="0" i="0" u="none" strike="noStrike" baseline="0">
                <a:solidFill>
                  <a:srgbClr val="000000"/>
                </a:solidFill>
                <a:latin typeface="Arial"/>
                <a:ea typeface="Arial"/>
                <a:cs typeface="Arial"/>
              </a:defRPr>
            </a:pPr>
            <a:endParaRPr lang="en-US"/>
          </a:p>
        </c:txPr>
      </c:legendEntry>
      <c:layout>
        <c:manualLayout>
          <c:xMode val="edge"/>
          <c:yMode val="edge"/>
          <c:x val="3.8656655771298412E-2"/>
          <c:y val="0.89328658129228933"/>
          <c:w val="0.46219914509161147"/>
          <c:h val="4.4945236794580595E-2"/>
        </c:manualLayout>
      </c:layout>
      <c:overlay val="0"/>
      <c:spPr>
        <a:solidFill>
          <a:srgbClr val="FFFFFF"/>
        </a:solidFill>
        <a:ln w="3175">
          <a:solidFill>
            <a:srgbClr val="000000"/>
          </a:solidFill>
          <a:prstDash val="solid"/>
        </a:ln>
      </c:spPr>
      <c:txPr>
        <a:bodyPr/>
        <a:lstStyle/>
        <a:p>
          <a:pPr>
            <a:defRPr sz="16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99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US"/>
              <a:t>Turnstyle Gain in RHCP and LHCP
- Elevation Plot -</a:t>
            </a:r>
          </a:p>
        </c:rich>
      </c:tx>
      <c:layout>
        <c:manualLayout>
          <c:xMode val="edge"/>
          <c:yMode val="edge"/>
          <c:x val="0.34306569343065696"/>
          <c:y val="7.6804915514592934E-3"/>
        </c:manualLayout>
      </c:layout>
      <c:overlay val="0"/>
      <c:spPr>
        <a:noFill/>
        <a:ln w="25400">
          <a:noFill/>
        </a:ln>
      </c:spPr>
    </c:title>
    <c:autoTitleDeleted val="0"/>
    <c:plotArea>
      <c:layout>
        <c:manualLayout>
          <c:layoutTarget val="inner"/>
          <c:xMode val="edge"/>
          <c:yMode val="edge"/>
          <c:x val="0.27007299270072993"/>
          <c:y val="0.15514616207361581"/>
          <c:w val="0.45985401459854014"/>
          <c:h val="0.67742037103430275"/>
        </c:manualLayout>
      </c:layout>
      <c:radarChart>
        <c:radarStyle val="marker"/>
        <c:varyColors val="0"/>
        <c:ser>
          <c:idx val="1"/>
          <c:order val="0"/>
          <c:tx>
            <c:v>RHCP Gain</c:v>
          </c:tx>
          <c:spPr>
            <a:ln w="38100">
              <a:solidFill>
                <a:srgbClr val="0000FF"/>
              </a:solidFill>
              <a:prstDash val="solid"/>
            </a:ln>
          </c:spPr>
          <c:marker>
            <c:symbol val="none"/>
          </c:marker>
          <c:cat>
            <c:numRef>
              <c:f>'Antenna Patterns'!$C$99:$C$170</c:f>
              <c:numCache>
                <c:formatCode>General</c:formatCode>
                <c:ptCount val="7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numCache>
            </c:numRef>
          </c:cat>
          <c:val>
            <c:numRef>
              <c:f>'Antenna Patterns'!$D$99:$D$171</c:f>
              <c:numCache>
                <c:formatCode>0.0</c:formatCode>
                <c:ptCount val="73"/>
                <c:pt idx="0">
                  <c:v>2</c:v>
                </c:pt>
                <c:pt idx="1">
                  <c:v>1.98125</c:v>
                </c:pt>
                <c:pt idx="2">
                  <c:v>1.925</c:v>
                </c:pt>
                <c:pt idx="3">
                  <c:v>1.83125</c:v>
                </c:pt>
                <c:pt idx="4">
                  <c:v>1.7</c:v>
                </c:pt>
                <c:pt idx="5">
                  <c:v>1.53125</c:v>
                </c:pt>
                <c:pt idx="6">
                  <c:v>1.325</c:v>
                </c:pt>
                <c:pt idx="7">
                  <c:v>1.0812499999999998</c:v>
                </c:pt>
                <c:pt idx="8">
                  <c:v>0.8</c:v>
                </c:pt>
                <c:pt idx="9">
                  <c:v>0.48124999999999996</c:v>
                </c:pt>
                <c:pt idx="10">
                  <c:v>0.125</c:v>
                </c:pt>
                <c:pt idx="11">
                  <c:v>-0.26875000000000027</c:v>
                </c:pt>
                <c:pt idx="12">
                  <c:v>-0.70000000000000018</c:v>
                </c:pt>
                <c:pt idx="13">
                  <c:v>-1.1687500000000002</c:v>
                </c:pt>
                <c:pt idx="14">
                  <c:v>-1.6750000000000003</c:v>
                </c:pt>
                <c:pt idx="15">
                  <c:v>-2.21875</c:v>
                </c:pt>
                <c:pt idx="16">
                  <c:v>-2.8</c:v>
                </c:pt>
                <c:pt idx="17">
                  <c:v>-3.4187500000000002</c:v>
                </c:pt>
                <c:pt idx="18">
                  <c:v>-4.0750000000000002</c:v>
                </c:pt>
                <c:pt idx="19">
                  <c:v>-4.7687499999999998</c:v>
                </c:pt>
                <c:pt idx="20">
                  <c:v>-5.5</c:v>
                </c:pt>
                <c:pt idx="21">
                  <c:v>-6.2687500000000007</c:v>
                </c:pt>
                <c:pt idx="22">
                  <c:v>-7.0750000000000011</c:v>
                </c:pt>
                <c:pt idx="23">
                  <c:v>-7.9187500000000011</c:v>
                </c:pt>
                <c:pt idx="24">
                  <c:v>-8.8000000000000007</c:v>
                </c:pt>
                <c:pt idx="25">
                  <c:v>-9.71875</c:v>
                </c:pt>
                <c:pt idx="26">
                  <c:v>-10.675000000000001</c:v>
                </c:pt>
                <c:pt idx="27">
                  <c:v>-11.668750000000001</c:v>
                </c:pt>
                <c:pt idx="28">
                  <c:v>-12.700000000000001</c:v>
                </c:pt>
                <c:pt idx="29">
                  <c:v>-13.768750000000001</c:v>
                </c:pt>
                <c:pt idx="30">
                  <c:v>-14.875</c:v>
                </c:pt>
                <c:pt idx="31">
                  <c:v>-16.018750000000001</c:v>
                </c:pt>
                <c:pt idx="32">
                  <c:v>-17.2</c:v>
                </c:pt>
                <c:pt idx="33">
                  <c:v>-18.418749999999999</c:v>
                </c:pt>
                <c:pt idx="34">
                  <c:v>-19.675000000000001</c:v>
                </c:pt>
                <c:pt idx="35">
                  <c:v>-20.96875</c:v>
                </c:pt>
                <c:pt idx="36">
                  <c:v>-22.3</c:v>
                </c:pt>
                <c:pt idx="37">
                  <c:v>-20.96875</c:v>
                </c:pt>
                <c:pt idx="38">
                  <c:v>-19.675000000000001</c:v>
                </c:pt>
                <c:pt idx="39">
                  <c:v>-18.418749999999999</c:v>
                </c:pt>
                <c:pt idx="40">
                  <c:v>-17.2</c:v>
                </c:pt>
                <c:pt idx="41">
                  <c:v>-16.018750000000001</c:v>
                </c:pt>
                <c:pt idx="42">
                  <c:v>-14.875</c:v>
                </c:pt>
                <c:pt idx="43">
                  <c:v>-13.768750000000001</c:v>
                </c:pt>
                <c:pt idx="44">
                  <c:v>-12.700000000000001</c:v>
                </c:pt>
                <c:pt idx="45">
                  <c:v>-11.668750000000001</c:v>
                </c:pt>
                <c:pt idx="46">
                  <c:v>-10.675000000000001</c:v>
                </c:pt>
                <c:pt idx="47">
                  <c:v>-9.71875</c:v>
                </c:pt>
                <c:pt idx="48">
                  <c:v>-8.8000000000000007</c:v>
                </c:pt>
                <c:pt idx="49">
                  <c:v>-7.9187500000000011</c:v>
                </c:pt>
                <c:pt idx="50">
                  <c:v>-7.0750000000000011</c:v>
                </c:pt>
                <c:pt idx="51">
                  <c:v>-6.2687500000000007</c:v>
                </c:pt>
                <c:pt idx="52">
                  <c:v>-5.5</c:v>
                </c:pt>
                <c:pt idx="53">
                  <c:v>-4.7687499999999998</c:v>
                </c:pt>
                <c:pt idx="54">
                  <c:v>-4.0750000000000002</c:v>
                </c:pt>
                <c:pt idx="55">
                  <c:v>-3.4187500000000002</c:v>
                </c:pt>
                <c:pt idx="56">
                  <c:v>-2.8</c:v>
                </c:pt>
                <c:pt idx="57">
                  <c:v>-2.21875</c:v>
                </c:pt>
                <c:pt idx="58">
                  <c:v>-1.6750000000000003</c:v>
                </c:pt>
                <c:pt idx="59">
                  <c:v>-1.1687500000000002</c:v>
                </c:pt>
                <c:pt idx="60">
                  <c:v>-0.70000000000000018</c:v>
                </c:pt>
                <c:pt idx="61">
                  <c:v>-0.26875000000000027</c:v>
                </c:pt>
                <c:pt idx="62">
                  <c:v>0.125</c:v>
                </c:pt>
                <c:pt idx="63">
                  <c:v>0.48124999999999996</c:v>
                </c:pt>
                <c:pt idx="64">
                  <c:v>0.8</c:v>
                </c:pt>
                <c:pt idx="65">
                  <c:v>1.0812499999999998</c:v>
                </c:pt>
                <c:pt idx="66">
                  <c:v>1.325</c:v>
                </c:pt>
                <c:pt idx="67">
                  <c:v>1.53125</c:v>
                </c:pt>
                <c:pt idx="68">
                  <c:v>1.7</c:v>
                </c:pt>
                <c:pt idx="69">
                  <c:v>1.83125</c:v>
                </c:pt>
                <c:pt idx="70">
                  <c:v>1.925</c:v>
                </c:pt>
                <c:pt idx="71">
                  <c:v>1.98125</c:v>
                </c:pt>
                <c:pt idx="72">
                  <c:v>2</c:v>
                </c:pt>
              </c:numCache>
            </c:numRef>
          </c:val>
          <c:extLst>
            <c:ext xmlns:c16="http://schemas.microsoft.com/office/drawing/2014/chart" uri="{C3380CC4-5D6E-409C-BE32-E72D297353CC}">
              <c16:uniqueId val="{00000000-26C7-C34C-9D21-4C6BECAF1CEE}"/>
            </c:ext>
          </c:extLst>
        </c:ser>
        <c:ser>
          <c:idx val="2"/>
          <c:order val="1"/>
          <c:tx>
            <c:v>LHCP Gain</c:v>
          </c:tx>
          <c:spPr>
            <a:ln w="38100">
              <a:solidFill>
                <a:srgbClr val="FF0000"/>
              </a:solidFill>
              <a:prstDash val="solid"/>
            </a:ln>
          </c:spPr>
          <c:marker>
            <c:symbol val="none"/>
          </c:marker>
          <c:cat>
            <c:numRef>
              <c:f>'Antenna Patterns'!$C$99:$C$170</c:f>
              <c:numCache>
                <c:formatCode>General</c:formatCode>
                <c:ptCount val="7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numCache>
            </c:numRef>
          </c:cat>
          <c:val>
            <c:numRef>
              <c:f>'Antenna Patterns'!$E$99:$E$171</c:f>
              <c:numCache>
                <c:formatCode>0.0</c:formatCode>
                <c:ptCount val="73"/>
                <c:pt idx="0">
                  <c:v>-23.8</c:v>
                </c:pt>
                <c:pt idx="1">
                  <c:v>-22.46875</c:v>
                </c:pt>
                <c:pt idx="2">
                  <c:v>-21.175000000000001</c:v>
                </c:pt>
                <c:pt idx="3">
                  <c:v>-19.918749999999999</c:v>
                </c:pt>
                <c:pt idx="4">
                  <c:v>-18.7</c:v>
                </c:pt>
                <c:pt idx="5">
                  <c:v>-17.518750000000001</c:v>
                </c:pt>
                <c:pt idx="6">
                  <c:v>-16.375</c:v>
                </c:pt>
                <c:pt idx="7">
                  <c:v>-15.268750000000001</c:v>
                </c:pt>
                <c:pt idx="8">
                  <c:v>-14.200000000000001</c:v>
                </c:pt>
                <c:pt idx="9">
                  <c:v>-13.168750000000001</c:v>
                </c:pt>
                <c:pt idx="10">
                  <c:v>-12.175000000000001</c:v>
                </c:pt>
                <c:pt idx="11">
                  <c:v>-11.21875</c:v>
                </c:pt>
                <c:pt idx="12">
                  <c:v>-10.3</c:v>
                </c:pt>
                <c:pt idx="13">
                  <c:v>-9.4187500000000011</c:v>
                </c:pt>
                <c:pt idx="14">
                  <c:v>-8.5750000000000011</c:v>
                </c:pt>
                <c:pt idx="15">
                  <c:v>-7.7687500000000007</c:v>
                </c:pt>
                <c:pt idx="16">
                  <c:v>-7</c:v>
                </c:pt>
                <c:pt idx="17">
                  <c:v>-6.2687499999999998</c:v>
                </c:pt>
                <c:pt idx="18">
                  <c:v>-5.5750000000000002</c:v>
                </c:pt>
                <c:pt idx="19">
                  <c:v>-4.9187500000000002</c:v>
                </c:pt>
                <c:pt idx="20">
                  <c:v>-4.3</c:v>
                </c:pt>
                <c:pt idx="21">
                  <c:v>-3.71875</c:v>
                </c:pt>
                <c:pt idx="22">
                  <c:v>-3.1750000000000003</c:v>
                </c:pt>
                <c:pt idx="23">
                  <c:v>-2.6687500000000002</c:v>
                </c:pt>
                <c:pt idx="24">
                  <c:v>-2.2000000000000002</c:v>
                </c:pt>
                <c:pt idx="25">
                  <c:v>-1.7687500000000003</c:v>
                </c:pt>
                <c:pt idx="26">
                  <c:v>-1.375</c:v>
                </c:pt>
                <c:pt idx="27">
                  <c:v>-1.01875</c:v>
                </c:pt>
                <c:pt idx="28">
                  <c:v>-0.7</c:v>
                </c:pt>
                <c:pt idx="29">
                  <c:v>-0.41875000000000007</c:v>
                </c:pt>
                <c:pt idx="30">
                  <c:v>-0.17500000000000004</c:v>
                </c:pt>
                <c:pt idx="31">
                  <c:v>3.125E-2</c:v>
                </c:pt>
                <c:pt idx="32">
                  <c:v>0.2</c:v>
                </c:pt>
                <c:pt idx="33">
                  <c:v>0.33124999999999999</c:v>
                </c:pt>
                <c:pt idx="34">
                  <c:v>0.42499999999999999</c:v>
                </c:pt>
                <c:pt idx="35" formatCode="0.00">
                  <c:v>0.48125000000000001</c:v>
                </c:pt>
                <c:pt idx="36">
                  <c:v>0.5</c:v>
                </c:pt>
                <c:pt idx="37" formatCode="0.00">
                  <c:v>0.48125000000000001</c:v>
                </c:pt>
                <c:pt idx="38" formatCode="0.00">
                  <c:v>0.42499999999999999</c:v>
                </c:pt>
                <c:pt idx="39" formatCode="0.00">
                  <c:v>0.33124999999999999</c:v>
                </c:pt>
                <c:pt idx="40" formatCode="0.00">
                  <c:v>0.2</c:v>
                </c:pt>
                <c:pt idx="41" formatCode="0.00">
                  <c:v>3.125E-2</c:v>
                </c:pt>
                <c:pt idx="42" formatCode="0.00">
                  <c:v>-0.17500000000000004</c:v>
                </c:pt>
                <c:pt idx="43" formatCode="0.00">
                  <c:v>-0.41875000000000007</c:v>
                </c:pt>
                <c:pt idx="44" formatCode="0.00">
                  <c:v>-0.7</c:v>
                </c:pt>
                <c:pt idx="45" formatCode="0.00">
                  <c:v>-1.01875</c:v>
                </c:pt>
                <c:pt idx="46" formatCode="0.00">
                  <c:v>-1.375</c:v>
                </c:pt>
                <c:pt idx="47" formatCode="0.00">
                  <c:v>-1.7687500000000003</c:v>
                </c:pt>
                <c:pt idx="48" formatCode="0.00">
                  <c:v>-2.2000000000000002</c:v>
                </c:pt>
                <c:pt idx="49" formatCode="0.00">
                  <c:v>-2.6687500000000002</c:v>
                </c:pt>
                <c:pt idx="50" formatCode="0.00">
                  <c:v>-3.1750000000000003</c:v>
                </c:pt>
                <c:pt idx="51" formatCode="0.00">
                  <c:v>-3.71875</c:v>
                </c:pt>
                <c:pt idx="52" formatCode="0.00">
                  <c:v>-4.3</c:v>
                </c:pt>
                <c:pt idx="53" formatCode="0.00">
                  <c:v>-4.9187500000000002</c:v>
                </c:pt>
                <c:pt idx="54" formatCode="0.00">
                  <c:v>-5.5750000000000002</c:v>
                </c:pt>
                <c:pt idx="55" formatCode="0.00">
                  <c:v>-6.2687499999999998</c:v>
                </c:pt>
                <c:pt idx="56" formatCode="0.00">
                  <c:v>-7</c:v>
                </c:pt>
                <c:pt idx="57" formatCode="0.00">
                  <c:v>-7.7687500000000007</c:v>
                </c:pt>
                <c:pt idx="58" formatCode="0.00">
                  <c:v>-8.5750000000000011</c:v>
                </c:pt>
                <c:pt idx="59" formatCode="0.00">
                  <c:v>-9.4187500000000011</c:v>
                </c:pt>
                <c:pt idx="60" formatCode="0.00">
                  <c:v>-10.3</c:v>
                </c:pt>
                <c:pt idx="61" formatCode="0.00">
                  <c:v>-11.21875</c:v>
                </c:pt>
                <c:pt idx="62" formatCode="0.00">
                  <c:v>-12.175000000000001</c:v>
                </c:pt>
                <c:pt idx="63" formatCode="0.00">
                  <c:v>-13.168750000000001</c:v>
                </c:pt>
                <c:pt idx="64" formatCode="0.00">
                  <c:v>-14.200000000000001</c:v>
                </c:pt>
                <c:pt idx="65" formatCode="0.00">
                  <c:v>-15.268750000000001</c:v>
                </c:pt>
                <c:pt idx="66" formatCode="0.00">
                  <c:v>-16.375</c:v>
                </c:pt>
                <c:pt idx="67" formatCode="0.00">
                  <c:v>-17.518750000000001</c:v>
                </c:pt>
                <c:pt idx="68" formatCode="0.00">
                  <c:v>-18.7</c:v>
                </c:pt>
                <c:pt idx="69" formatCode="0.00">
                  <c:v>-19.918749999999999</c:v>
                </c:pt>
                <c:pt idx="70" formatCode="0.00">
                  <c:v>-21.175000000000001</c:v>
                </c:pt>
                <c:pt idx="71" formatCode="0.00">
                  <c:v>-22.46875</c:v>
                </c:pt>
                <c:pt idx="72" formatCode="0.00">
                  <c:v>-23.8</c:v>
                </c:pt>
              </c:numCache>
            </c:numRef>
          </c:val>
          <c:extLst>
            <c:ext xmlns:c16="http://schemas.microsoft.com/office/drawing/2014/chart" uri="{C3380CC4-5D6E-409C-BE32-E72D297353CC}">
              <c16:uniqueId val="{00000001-26C7-C34C-9D21-4C6BECAF1CEE}"/>
            </c:ext>
          </c:extLst>
        </c:ser>
        <c:dLbls>
          <c:showLegendKey val="0"/>
          <c:showVal val="0"/>
          <c:showCatName val="0"/>
          <c:showSerName val="0"/>
          <c:showPercent val="0"/>
          <c:showBubbleSize val="0"/>
        </c:dLbls>
        <c:axId val="862764080"/>
        <c:axId val="1"/>
      </c:radarChart>
      <c:catAx>
        <c:axId val="86276408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25" b="0"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in val="-40"/>
        </c:scaling>
        <c:delete val="0"/>
        <c:axPos val="l"/>
        <c:majorGridlines>
          <c:spPr>
            <a:ln w="3175">
              <a:solidFill>
                <a:srgbClr val="000000"/>
              </a:solidFill>
              <a:prstDash val="solid"/>
            </a:ln>
          </c:spPr>
        </c:majorGridlines>
        <c:numFmt formatCode="General"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62764080"/>
        <c:crosses val="autoZero"/>
        <c:crossBetween val="between"/>
        <c:majorUnit val="5"/>
        <c:minorUnit val="1"/>
      </c:valAx>
      <c:spPr>
        <a:solidFill>
          <a:srgbClr val="9999FF"/>
        </a:solidFill>
        <a:ln w="25400">
          <a:noFill/>
        </a:ln>
      </c:spPr>
    </c:plotArea>
    <c:legend>
      <c:legendPos val="r"/>
      <c:layout>
        <c:manualLayout>
          <c:xMode val="edge"/>
          <c:yMode val="edge"/>
          <c:x val="3.7784562536277995E-2"/>
          <c:y val="0.92202895409526864"/>
          <c:w val="0.34635848991588164"/>
          <c:h val="4.800150737155412E-2"/>
        </c:manualLayout>
      </c:layout>
      <c:overlay val="0"/>
      <c:spPr>
        <a:solidFill>
          <a:srgbClr val="FFFFFF"/>
        </a:solidFill>
        <a:ln w="3175">
          <a:solidFill>
            <a:srgbClr val="000000"/>
          </a:solidFill>
          <a:prstDash val="solid"/>
        </a:ln>
      </c:spPr>
      <c:txPr>
        <a:bodyPr/>
        <a:lstStyle/>
        <a:p>
          <a:pPr>
            <a:defRPr sz="16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99FF"/>
    </a:solidFill>
    <a:ln w="3175">
      <a:solidFill>
        <a:srgbClr val="000000"/>
      </a:solidFill>
      <a:prstDash val="solid"/>
    </a:ln>
  </c:spPr>
  <c:txPr>
    <a:bodyPr/>
    <a:lstStyle/>
    <a:p>
      <a:pPr>
        <a:defRPr sz="1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Patch Antenna Gain </a:t>
            </a:r>
          </a:p>
        </c:rich>
      </c:tx>
      <c:layout>
        <c:manualLayout>
          <c:xMode val="edge"/>
          <c:yMode val="edge"/>
          <c:x val="0.33967419833390389"/>
          <c:y val="2.8428093645484948E-2"/>
        </c:manualLayout>
      </c:layout>
      <c:overlay val="0"/>
      <c:spPr>
        <a:noFill/>
        <a:ln w="25400">
          <a:noFill/>
        </a:ln>
      </c:spPr>
    </c:title>
    <c:autoTitleDeleted val="0"/>
    <c:plotArea>
      <c:layout>
        <c:manualLayout>
          <c:layoutTarget val="inner"/>
          <c:xMode val="edge"/>
          <c:yMode val="edge"/>
          <c:x val="0.1671196760888646"/>
          <c:y val="0.26254202039188279"/>
          <c:w val="0.5230981731236819"/>
          <c:h val="0.64381323471894814"/>
        </c:manualLayout>
      </c:layout>
      <c:radarChart>
        <c:radarStyle val="marker"/>
        <c:varyColors val="0"/>
        <c:ser>
          <c:idx val="1"/>
          <c:order val="0"/>
          <c:tx>
            <c:v>RHCP</c:v>
          </c:tx>
          <c:spPr>
            <a:ln w="38100">
              <a:solidFill>
                <a:srgbClr val="0000FF"/>
              </a:solidFill>
              <a:prstDash val="solid"/>
            </a:ln>
          </c:spPr>
          <c:marker>
            <c:symbol val="none"/>
          </c:marker>
          <c:cat>
            <c:numRef>
              <c:f>'Antenna Patterns'!$C$216:$C$287</c:f>
              <c:numCache>
                <c:formatCode>0</c:formatCode>
                <c:ptCount val="72"/>
                <c:pt idx="0">
                  <c:v>1.0000000000000001E-5</c:v>
                </c:pt>
                <c:pt idx="1">
                  <c:v>5.0000099999999996</c:v>
                </c:pt>
                <c:pt idx="2">
                  <c:v>10.00001</c:v>
                </c:pt>
                <c:pt idx="3">
                  <c:v>15.00001</c:v>
                </c:pt>
                <c:pt idx="4">
                  <c:v>20.00001</c:v>
                </c:pt>
                <c:pt idx="5">
                  <c:v>25.00001</c:v>
                </c:pt>
                <c:pt idx="6">
                  <c:v>30.00001</c:v>
                </c:pt>
                <c:pt idx="7">
                  <c:v>35.000010000000003</c:v>
                </c:pt>
                <c:pt idx="8">
                  <c:v>40.000010000000003</c:v>
                </c:pt>
                <c:pt idx="9">
                  <c:v>45.000010000000003</c:v>
                </c:pt>
                <c:pt idx="10">
                  <c:v>50.000010000000003</c:v>
                </c:pt>
                <c:pt idx="11">
                  <c:v>55.000010000000003</c:v>
                </c:pt>
                <c:pt idx="12">
                  <c:v>60.000010000000003</c:v>
                </c:pt>
                <c:pt idx="13">
                  <c:v>65.000010000000003</c:v>
                </c:pt>
                <c:pt idx="14">
                  <c:v>70.000010000000003</c:v>
                </c:pt>
                <c:pt idx="15">
                  <c:v>75.000010000000003</c:v>
                </c:pt>
                <c:pt idx="16">
                  <c:v>80.000010000000003</c:v>
                </c:pt>
                <c:pt idx="17">
                  <c:v>85.000010000000003</c:v>
                </c:pt>
                <c:pt idx="18">
                  <c:v>90.000010000000003</c:v>
                </c:pt>
                <c:pt idx="19">
                  <c:v>95.000010000000003</c:v>
                </c:pt>
                <c:pt idx="20">
                  <c:v>100.00001</c:v>
                </c:pt>
                <c:pt idx="21">
                  <c:v>105.00001</c:v>
                </c:pt>
                <c:pt idx="22">
                  <c:v>110.00001</c:v>
                </c:pt>
                <c:pt idx="23">
                  <c:v>115.00001</c:v>
                </c:pt>
                <c:pt idx="24">
                  <c:v>120.00001</c:v>
                </c:pt>
                <c:pt idx="25">
                  <c:v>125.00001</c:v>
                </c:pt>
                <c:pt idx="26">
                  <c:v>130.00001</c:v>
                </c:pt>
                <c:pt idx="27">
                  <c:v>135.00001</c:v>
                </c:pt>
                <c:pt idx="28">
                  <c:v>140.00001</c:v>
                </c:pt>
                <c:pt idx="29">
                  <c:v>145.00001</c:v>
                </c:pt>
                <c:pt idx="30">
                  <c:v>150.00001</c:v>
                </c:pt>
                <c:pt idx="31">
                  <c:v>155.00001</c:v>
                </c:pt>
                <c:pt idx="32">
                  <c:v>160.00001</c:v>
                </c:pt>
                <c:pt idx="33">
                  <c:v>165.00001</c:v>
                </c:pt>
                <c:pt idx="34">
                  <c:v>170.00001</c:v>
                </c:pt>
                <c:pt idx="35">
                  <c:v>175.00001</c:v>
                </c:pt>
                <c:pt idx="36">
                  <c:v>180.00001</c:v>
                </c:pt>
                <c:pt idx="37">
                  <c:v>185.00001</c:v>
                </c:pt>
                <c:pt idx="38">
                  <c:v>190.00001</c:v>
                </c:pt>
                <c:pt idx="39">
                  <c:v>195.00001</c:v>
                </c:pt>
                <c:pt idx="40">
                  <c:v>200.00001</c:v>
                </c:pt>
                <c:pt idx="41">
                  <c:v>205.00001</c:v>
                </c:pt>
                <c:pt idx="42">
                  <c:v>210.00001</c:v>
                </c:pt>
                <c:pt idx="43">
                  <c:v>215.00001</c:v>
                </c:pt>
                <c:pt idx="44">
                  <c:v>220.00001</c:v>
                </c:pt>
                <c:pt idx="45">
                  <c:v>225.00001</c:v>
                </c:pt>
                <c:pt idx="46">
                  <c:v>230.00001</c:v>
                </c:pt>
                <c:pt idx="47">
                  <c:v>235.00001</c:v>
                </c:pt>
                <c:pt idx="48">
                  <c:v>240.00001</c:v>
                </c:pt>
                <c:pt idx="49">
                  <c:v>245.00001</c:v>
                </c:pt>
                <c:pt idx="50">
                  <c:v>250.00001</c:v>
                </c:pt>
                <c:pt idx="51">
                  <c:v>255.00001</c:v>
                </c:pt>
                <c:pt idx="52">
                  <c:v>260.00000999999997</c:v>
                </c:pt>
                <c:pt idx="53">
                  <c:v>265.00000999999997</c:v>
                </c:pt>
                <c:pt idx="54">
                  <c:v>270.00000999999997</c:v>
                </c:pt>
                <c:pt idx="55">
                  <c:v>275.00000999999997</c:v>
                </c:pt>
                <c:pt idx="56">
                  <c:v>280.00000999999997</c:v>
                </c:pt>
                <c:pt idx="57">
                  <c:v>285.00000999999997</c:v>
                </c:pt>
                <c:pt idx="58">
                  <c:v>290.00000999999997</c:v>
                </c:pt>
                <c:pt idx="59">
                  <c:v>295.00000999999997</c:v>
                </c:pt>
                <c:pt idx="60">
                  <c:v>300.00000999999997</c:v>
                </c:pt>
                <c:pt idx="61">
                  <c:v>305.00000999999997</c:v>
                </c:pt>
                <c:pt idx="62">
                  <c:v>310.00000999999997</c:v>
                </c:pt>
                <c:pt idx="63">
                  <c:v>315.00000999999997</c:v>
                </c:pt>
                <c:pt idx="64">
                  <c:v>320.00000999999997</c:v>
                </c:pt>
                <c:pt idx="65">
                  <c:v>325.00000999999997</c:v>
                </c:pt>
                <c:pt idx="66">
                  <c:v>330.00000999999997</c:v>
                </c:pt>
                <c:pt idx="67">
                  <c:v>335.00000999999997</c:v>
                </c:pt>
                <c:pt idx="68">
                  <c:v>340.00000999999997</c:v>
                </c:pt>
                <c:pt idx="69">
                  <c:v>345.00000999999997</c:v>
                </c:pt>
                <c:pt idx="70">
                  <c:v>350.00000999999997</c:v>
                </c:pt>
                <c:pt idx="71">
                  <c:v>355.00000999999997</c:v>
                </c:pt>
              </c:numCache>
            </c:numRef>
          </c:cat>
          <c:val>
            <c:numRef>
              <c:f>'Antenna Patterns'!$D$216:$D$287</c:f>
              <c:numCache>
                <c:formatCode>0.0</c:formatCode>
                <c:ptCount val="72"/>
                <c:pt idx="0">
                  <c:v>6.0000048287003951</c:v>
                </c:pt>
                <c:pt idx="1">
                  <c:v>5.9653447349382374</c:v>
                </c:pt>
                <c:pt idx="2">
                  <c:v>5.8610307884493329</c:v>
                </c:pt>
                <c:pt idx="3">
                  <c:v>5.6860456751103436</c:v>
                </c:pt>
                <c:pt idx="4">
                  <c:v>5.4386406342061937</c:v>
                </c:pt>
                <c:pt idx="5">
                  <c:v>5.1162496734715912</c:v>
                </c:pt>
                <c:pt idx="6">
                  <c:v>4.7153564644619106</c:v>
                </c:pt>
                <c:pt idx="7">
                  <c:v>4.2312978799201479</c:v>
                </c:pt>
                <c:pt idx="8">
                  <c:v>3.6579781652012575</c:v>
                </c:pt>
                <c:pt idx="9">
                  <c:v>2.9874513525559072</c:v>
                </c:pt>
                <c:pt idx="10">
                  <c:v>2.2093012463479962</c:v>
                </c:pt>
                <c:pt idx="11">
                  <c:v>1.3096970623209385</c:v>
                </c:pt>
                <c:pt idx="12">
                  <c:v>0.26990490064927641</c:v>
                </c:pt>
                <c:pt idx="13">
                  <c:v>-0.93616362774185458</c:v>
                </c:pt>
                <c:pt idx="14">
                  <c:v>-2.346219096006557</c:v>
                </c:pt>
                <c:pt idx="15">
                  <c:v>-4.0175734305176114</c:v>
                </c:pt>
                <c:pt idx="16">
                  <c:v>-6.0435331070795471</c:v>
                </c:pt>
                <c:pt idx="17">
                  <c:v>-8.5917789014445276</c:v>
                </c:pt>
                <c:pt idx="18">
                  <c:v>-12.013620001173564</c:v>
                </c:pt>
                <c:pt idx="19">
                  <c:v>-17.279743973217315</c:v>
                </c:pt>
                <c:pt idx="20">
                  <c:v>-30.156464421918081</c:v>
                </c:pt>
                <c:pt idx="21">
                  <c:v>-23.701973405406868</c:v>
                </c:pt>
                <c:pt idx="22">
                  <c:v>-16.397090501132354</c:v>
                </c:pt>
                <c:pt idx="23">
                  <c:v>-12.895951874930702</c:v>
                </c:pt>
                <c:pt idx="24">
                  <c:v>-10.743493220007636</c:v>
                </c:pt>
                <c:pt idx="25">
                  <c:v>-9.3131238834920467</c:v>
                </c:pt>
                <c:pt idx="26">
                  <c:v>-8.3505360701726996</c:v>
                </c:pt>
                <c:pt idx="27">
                  <c:v>-7.7293164278551636</c:v>
                </c:pt>
                <c:pt idx="28">
                  <c:v>-7.3797189350454673</c:v>
                </c:pt>
                <c:pt idx="29">
                  <c:v>-7.2617287207414059</c:v>
                </c:pt>
                <c:pt idx="30">
                  <c:v>-7.3532972791944715</c:v>
                </c:pt>
                <c:pt idx="31">
                  <c:v>-7.6449434430417593</c:v>
                </c:pt>
                <c:pt idx="32">
                  <c:v>-8.1376149609957675</c:v>
                </c:pt>
                <c:pt idx="33">
                  <c:v>-8.842764611816559</c:v>
                </c:pt>
                <c:pt idx="34">
                  <c:v>-9.7846725758335822</c:v>
                </c:pt>
                <c:pt idx="35">
                  <c:v>-11.006151919034188</c:v>
                </c:pt>
                <c:pt idx="36">
                  <c:v>-12.580956411963957</c:v>
                </c:pt>
                <c:pt idx="37">
                  <c:v>-11</c:v>
                </c:pt>
                <c:pt idx="38">
                  <c:v>-9.8000000000000007</c:v>
                </c:pt>
                <c:pt idx="39" formatCode="General">
                  <c:v>-8.8000000000000007</c:v>
                </c:pt>
                <c:pt idx="40" formatCode="General">
                  <c:v>-8.1</c:v>
                </c:pt>
                <c:pt idx="41" formatCode="General">
                  <c:v>-7.6</c:v>
                </c:pt>
                <c:pt idx="42" formatCode="General">
                  <c:v>-7.4</c:v>
                </c:pt>
                <c:pt idx="43" formatCode="General">
                  <c:v>-7.3</c:v>
                </c:pt>
                <c:pt idx="44" formatCode="General">
                  <c:v>-7.4</c:v>
                </c:pt>
                <c:pt idx="45" formatCode="General">
                  <c:v>-7.7</c:v>
                </c:pt>
                <c:pt idx="46" formatCode="General">
                  <c:v>-8.4</c:v>
                </c:pt>
                <c:pt idx="47" formatCode="General">
                  <c:v>-9.3000000000000007</c:v>
                </c:pt>
                <c:pt idx="48" formatCode="General">
                  <c:v>-10.7</c:v>
                </c:pt>
                <c:pt idx="49" formatCode="General">
                  <c:v>-12.9</c:v>
                </c:pt>
                <c:pt idx="50" formatCode="General">
                  <c:v>-16.399999999999999</c:v>
                </c:pt>
                <c:pt idx="51" formatCode="General">
                  <c:v>-23.7</c:v>
                </c:pt>
                <c:pt idx="52" formatCode="General">
                  <c:v>-30.2</c:v>
                </c:pt>
                <c:pt idx="53" formatCode="General">
                  <c:v>-17.3</c:v>
                </c:pt>
                <c:pt idx="54">
                  <c:v>-8.6</c:v>
                </c:pt>
                <c:pt idx="55">
                  <c:v>-6</c:v>
                </c:pt>
                <c:pt idx="56">
                  <c:v>-4</c:v>
                </c:pt>
                <c:pt idx="57" formatCode="General">
                  <c:v>-2.2999999999999998</c:v>
                </c:pt>
                <c:pt idx="58" formatCode="General">
                  <c:v>-0.9</c:v>
                </c:pt>
                <c:pt idx="59" formatCode="General">
                  <c:v>0.3</c:v>
                </c:pt>
                <c:pt idx="60" formatCode="General">
                  <c:v>1.3</c:v>
                </c:pt>
                <c:pt idx="61" formatCode="General">
                  <c:v>2.2000000000000002</c:v>
                </c:pt>
                <c:pt idx="62">
                  <c:v>3</c:v>
                </c:pt>
                <c:pt idx="63" formatCode="General">
                  <c:v>3.7</c:v>
                </c:pt>
                <c:pt idx="64" formatCode="General">
                  <c:v>4.2</c:v>
                </c:pt>
                <c:pt idx="65" formatCode="General">
                  <c:v>4.7</c:v>
                </c:pt>
                <c:pt idx="66" formatCode="General">
                  <c:v>5.0999999999999996</c:v>
                </c:pt>
                <c:pt idx="67" formatCode="General">
                  <c:v>5.4</c:v>
                </c:pt>
                <c:pt idx="68" formatCode="General">
                  <c:v>5.7</c:v>
                </c:pt>
                <c:pt idx="69" formatCode="General">
                  <c:v>5.9</c:v>
                </c:pt>
                <c:pt idx="70">
                  <c:v>6</c:v>
                </c:pt>
                <c:pt idx="71">
                  <c:v>6</c:v>
                </c:pt>
              </c:numCache>
            </c:numRef>
          </c:val>
          <c:extLst>
            <c:ext xmlns:c16="http://schemas.microsoft.com/office/drawing/2014/chart" uri="{C3380CC4-5D6E-409C-BE32-E72D297353CC}">
              <c16:uniqueId val="{00000000-B3F8-FC48-97C4-203480F261A1}"/>
            </c:ext>
          </c:extLst>
        </c:ser>
        <c:dLbls>
          <c:showLegendKey val="0"/>
          <c:showVal val="0"/>
          <c:showCatName val="0"/>
          <c:showSerName val="0"/>
          <c:showPercent val="0"/>
          <c:showBubbleSize val="0"/>
        </c:dLbls>
        <c:axId val="2138553888"/>
        <c:axId val="1"/>
      </c:radarChart>
      <c:catAx>
        <c:axId val="213855388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800080"/>
                </a:solidFill>
                <a:latin typeface="Arial"/>
                <a:ea typeface="Arial"/>
                <a:cs typeface="Arial"/>
              </a:defRPr>
            </a:pPr>
            <a:endParaRPr lang="en-US"/>
          </a:p>
        </c:txPr>
        <c:crossAx val="2138553888"/>
        <c:crosses val="autoZero"/>
        <c:crossBetween val="between"/>
      </c:valAx>
      <c:spPr>
        <a:noFill/>
        <a:ln w="25400">
          <a:noFill/>
        </a:ln>
      </c:spPr>
    </c:plotArea>
    <c:legend>
      <c:legendPos val="r"/>
      <c:layout>
        <c:manualLayout>
          <c:xMode val="edge"/>
          <c:yMode val="edge"/>
          <c:x val="0.42037416101017588"/>
          <c:y val="9.1705999012144948E-2"/>
          <c:w val="0.11823023278411197"/>
          <c:h val="4.8036475673028309E-2"/>
        </c:manualLayout>
      </c:layout>
      <c:overlay val="0"/>
      <c:spPr>
        <a:solidFill>
          <a:srgbClr val="FFFFFF"/>
        </a:solidFill>
        <a:ln w="3175">
          <a:solidFill>
            <a:srgbClr val="000000"/>
          </a:solidFill>
          <a:prstDash val="solid"/>
        </a:ln>
      </c:spPr>
      <c:txPr>
        <a:bodyPr/>
        <a:lstStyle/>
        <a:p>
          <a:pPr>
            <a:defRPr sz="12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9525">
      <a:noFill/>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US"/>
              <a:t>Main Beam Roll-Off &amp; Sidelobe Positions</a:t>
            </a:r>
          </a:p>
        </c:rich>
      </c:tx>
      <c:layout>
        <c:manualLayout>
          <c:xMode val="edge"/>
          <c:yMode val="edge"/>
          <c:x val="0.2232418042545905"/>
          <c:y val="2.9411764705882353E-2"/>
        </c:manualLayout>
      </c:layout>
      <c:overlay val="0"/>
      <c:spPr>
        <a:noFill/>
        <a:ln w="25400">
          <a:noFill/>
        </a:ln>
      </c:spPr>
    </c:title>
    <c:autoTitleDeleted val="0"/>
    <c:plotArea>
      <c:layout>
        <c:manualLayout>
          <c:layoutTarget val="inner"/>
          <c:xMode val="edge"/>
          <c:yMode val="edge"/>
          <c:x val="0.1182468047659483"/>
          <c:y val="0.25686323694706831"/>
          <c:w val="0.8348632164078591"/>
          <c:h val="0.59215799662606583"/>
        </c:manualLayout>
      </c:layout>
      <c:scatterChart>
        <c:scatterStyle val="smoothMarker"/>
        <c:varyColors val="0"/>
        <c:ser>
          <c:idx val="1"/>
          <c:order val="0"/>
          <c:spPr>
            <a:ln w="25400">
              <a:solidFill>
                <a:srgbClr val="333333"/>
              </a:solidFill>
              <a:prstDash val="solid"/>
            </a:ln>
          </c:spPr>
          <c:marker>
            <c:symbol val="none"/>
          </c:marker>
          <c:xVal>
            <c:numRef>
              <c:f>'Beam Roll-Off Tool'!$I$11:$I$100</c:f>
              <c:numCache>
                <c:formatCode>0.000</c:formatCode>
                <c:ptCount val="90"/>
                <c:pt idx="0" formatCode="0.0000">
                  <c:v>9.4032096288866603E-7</c:v>
                </c:pt>
                <c:pt idx="1">
                  <c:v>9.4032096288866607E-4</c:v>
                </c:pt>
                <c:pt idx="2">
                  <c:v>3.2911233701103305E-2</c:v>
                </c:pt>
                <c:pt idx="3" formatCode="0.00">
                  <c:v>9.4032096288866593E-2</c:v>
                </c:pt>
                <c:pt idx="4" formatCode="0.00">
                  <c:v>0.23508024072216649</c:v>
                </c:pt>
                <c:pt idx="5" formatCode="0.00">
                  <c:v>0.28209628886659976</c:v>
                </c:pt>
                <c:pt idx="6" formatCode="0.00">
                  <c:v>0.37612838515546637</c:v>
                </c:pt>
                <c:pt idx="7" formatCode="0.00">
                  <c:v>0.44195085255767297</c:v>
                </c:pt>
                <c:pt idx="8" formatCode="0.00">
                  <c:v>0.53128134403209626</c:v>
                </c:pt>
                <c:pt idx="9" formatCode="0.00">
                  <c:v>0.56419257773319953</c:v>
                </c:pt>
                <c:pt idx="10" formatCode="0.00">
                  <c:v>0.65822467402206619</c:v>
                </c:pt>
                <c:pt idx="11" formatCode="0.00">
                  <c:v>0.75</c:v>
                </c:pt>
                <c:pt idx="12" formatCode="0.00">
                  <c:v>0.75225677031093274</c:v>
                </c:pt>
                <c:pt idx="13" formatCode="0.00">
                  <c:v>0.85381143430290862</c:v>
                </c:pt>
                <c:pt idx="14" formatCode="0.00">
                  <c:v>0.94032096288866596</c:v>
                </c:pt>
                <c:pt idx="15" formatCode="0.00">
                  <c:v>1.0343530591775325</c:v>
                </c:pt>
                <c:pt idx="16" formatCode="0.00">
                  <c:v>1.1283851554663991</c:v>
                </c:pt>
                <c:pt idx="17" formatCode="0.00">
                  <c:v>1.2224172517552656</c:v>
                </c:pt>
                <c:pt idx="18" formatCode="0.00">
                  <c:v>1.3164493480441324</c:v>
                </c:pt>
                <c:pt idx="19" formatCode="0.00">
                  <c:v>1.4104814443329989</c:v>
                </c:pt>
                <c:pt idx="20" formatCode="0.00">
                  <c:v>1.5045135406218655</c:v>
                </c:pt>
                <c:pt idx="21" formatCode="0.00">
                  <c:v>1.598545636910732</c:v>
                </c:pt>
                <c:pt idx="22" formatCode="0.00">
                  <c:v>1.6925777331995986</c:v>
                </c:pt>
                <c:pt idx="23" formatCode="0.00">
                  <c:v>1.7866098294884654</c:v>
                </c:pt>
                <c:pt idx="24" formatCode="0.00">
                  <c:v>1.8806419257773319</c:v>
                </c:pt>
                <c:pt idx="25" formatCode="0.00">
                  <c:v>1.9746740220661985</c:v>
                </c:pt>
                <c:pt idx="26" formatCode="0.00">
                  <c:v>2.068706118355065</c:v>
                </c:pt>
                <c:pt idx="27" formatCode="0.00">
                  <c:v>2.1627382146439316</c:v>
                </c:pt>
                <c:pt idx="28" formatCode="0.00">
                  <c:v>2.2567703109327981</c:v>
                </c:pt>
                <c:pt idx="29" formatCode="0.00">
                  <c:v>2.3508024072216647</c:v>
                </c:pt>
                <c:pt idx="30" formatCode="0.00">
                  <c:v>2.4448345035105312</c:v>
                </c:pt>
                <c:pt idx="31" formatCode="0.00">
                  <c:v>2.5388665997993982</c:v>
                </c:pt>
                <c:pt idx="32" formatCode="0.00">
                  <c:v>2.6328986960882648</c:v>
                </c:pt>
                <c:pt idx="33" formatCode="0.00">
                  <c:v>2.7269307923771313</c:v>
                </c:pt>
                <c:pt idx="34" formatCode="0.00">
                  <c:v>2.8209628886659979</c:v>
                </c:pt>
                <c:pt idx="35" formatCode="0.00">
                  <c:v>2.9149949849548644</c:v>
                </c:pt>
                <c:pt idx="36" formatCode="0.00">
                  <c:v>3.009027081243731</c:v>
                </c:pt>
                <c:pt idx="37" formatCode="0.00">
                  <c:v>3.1030591775325975</c:v>
                </c:pt>
                <c:pt idx="38" formatCode="0.00">
                  <c:v>3.1970912738214641</c:v>
                </c:pt>
                <c:pt idx="39" formatCode="0.00">
                  <c:v>3.2911233701103306</c:v>
                </c:pt>
                <c:pt idx="40" formatCode="0.00">
                  <c:v>3.3851554663991972</c:v>
                </c:pt>
                <c:pt idx="41" formatCode="0.00">
                  <c:v>3.4791875626880642</c:v>
                </c:pt>
                <c:pt idx="42" formatCode="0.00">
                  <c:v>3.5732196589769307</c:v>
                </c:pt>
                <c:pt idx="43" formatCode="0.00">
                  <c:v>3.6672517552657973</c:v>
                </c:pt>
                <c:pt idx="44" formatCode="0.00">
                  <c:v>3.7612838515546638</c:v>
                </c:pt>
                <c:pt idx="45" formatCode="0.00">
                  <c:v>3.8553159478435304</c:v>
                </c:pt>
                <c:pt idx="46" formatCode="0.00">
                  <c:v>3.9493480441323969</c:v>
                </c:pt>
                <c:pt idx="47" formatCode="0.00">
                  <c:v>4.0433801404212639</c:v>
                </c:pt>
                <c:pt idx="48" formatCode="0.00">
                  <c:v>4.13741223671013</c:v>
                </c:pt>
                <c:pt idx="49" formatCode="0.00">
                  <c:v>4.231444332998997</c:v>
                </c:pt>
                <c:pt idx="50" formatCode="0.00">
                  <c:v>4.3254764292878631</c:v>
                </c:pt>
                <c:pt idx="51" formatCode="0.00">
                  <c:v>4.4195085255767301</c:v>
                </c:pt>
                <c:pt idx="52" formatCode="0.00">
                  <c:v>4.5135406218655962</c:v>
                </c:pt>
                <c:pt idx="53" formatCode="0.00">
                  <c:v>4.6075727181544632</c:v>
                </c:pt>
                <c:pt idx="54" formatCode="0.00">
                  <c:v>4.7016048144433293</c:v>
                </c:pt>
                <c:pt idx="55" formatCode="0.00">
                  <c:v>4.7956369107321963</c:v>
                </c:pt>
                <c:pt idx="56" formatCode="0.00">
                  <c:v>4.8896690070210624</c:v>
                </c:pt>
                <c:pt idx="57" formatCode="0.00">
                  <c:v>4.9837011033099294</c:v>
                </c:pt>
                <c:pt idx="58" formatCode="0.00">
                  <c:v>5.0777331995987964</c:v>
                </c:pt>
                <c:pt idx="59" formatCode="0.00">
                  <c:v>5.1717652958876625</c:v>
                </c:pt>
                <c:pt idx="60" formatCode="0.00">
                  <c:v>5.2657973921765295</c:v>
                </c:pt>
                <c:pt idx="61" formatCode="0.00">
                  <c:v>5.3598294884653956</c:v>
                </c:pt>
                <c:pt idx="62" formatCode="0.00">
                  <c:v>5.4538615847542626</c:v>
                </c:pt>
                <c:pt idx="63" formatCode="0.00">
                  <c:v>5.5478936810431287</c:v>
                </c:pt>
                <c:pt idx="64" formatCode="0.00">
                  <c:v>5.6419257773319957</c:v>
                </c:pt>
                <c:pt idx="65" formatCode="0.00">
                  <c:v>5.7359578736208618</c:v>
                </c:pt>
                <c:pt idx="66" formatCode="0.00">
                  <c:v>5.8299899699097288</c:v>
                </c:pt>
                <c:pt idx="67" formatCode="0.00">
                  <c:v>5.9240220661985958</c:v>
                </c:pt>
                <c:pt idx="68" formatCode="0.00">
                  <c:v>6.0180541624874619</c:v>
                </c:pt>
                <c:pt idx="69" formatCode="0.00">
                  <c:v>6.1120862587763289</c:v>
                </c:pt>
                <c:pt idx="70" formatCode="0.00">
                  <c:v>6.300150451354062</c:v>
                </c:pt>
                <c:pt idx="71" formatCode="0.00">
                  <c:v>6.3941825476429281</c:v>
                </c:pt>
                <c:pt idx="72" formatCode="0.00">
                  <c:v>6.4882146439317951</c:v>
                </c:pt>
                <c:pt idx="73" formatCode="0.00">
                  <c:v>6.5822467402206613</c:v>
                </c:pt>
                <c:pt idx="74" formatCode="0.00">
                  <c:v>6.6762788365095282</c:v>
                </c:pt>
                <c:pt idx="75" formatCode="0.00">
                  <c:v>6.7703109327983944</c:v>
                </c:pt>
                <c:pt idx="76" formatCode="0.00">
                  <c:v>6.8643430290872613</c:v>
                </c:pt>
                <c:pt idx="77" formatCode="0.00">
                  <c:v>6.9583751253761283</c:v>
                </c:pt>
                <c:pt idx="78" formatCode="0.00">
                  <c:v>7.0524072216649945</c:v>
                </c:pt>
                <c:pt idx="79" formatCode="0.00">
                  <c:v>7.1464393179538614</c:v>
                </c:pt>
                <c:pt idx="80" formatCode="0.00">
                  <c:v>7.2404714142427276</c:v>
                </c:pt>
                <c:pt idx="81" formatCode="0.00">
                  <c:v>7.3345035105315946</c:v>
                </c:pt>
                <c:pt idx="82" formatCode="0.00">
                  <c:v>7.4285356068204607</c:v>
                </c:pt>
                <c:pt idx="83" formatCode="0.00">
                  <c:v>7.5225677031093277</c:v>
                </c:pt>
                <c:pt idx="84" formatCode="0.00">
                  <c:v>7.6165997993981938</c:v>
                </c:pt>
                <c:pt idx="85" formatCode="0.00">
                  <c:v>7.7106318956870608</c:v>
                </c:pt>
                <c:pt idx="86" formatCode="0.00">
                  <c:v>7.8046639919759269</c:v>
                </c:pt>
                <c:pt idx="87" formatCode="0.00">
                  <c:v>7.8986960882647939</c:v>
                </c:pt>
              </c:numCache>
            </c:numRef>
          </c:xVal>
          <c:yVal>
            <c:numRef>
              <c:f>'Beam Roll-Off Tool'!$F$11:$F$99</c:f>
              <c:numCache>
                <c:formatCode>0.000000</c:formatCode>
                <c:ptCount val="89"/>
                <c:pt idx="0" formatCode="0.00">
                  <c:v>0</c:v>
                </c:pt>
                <c:pt idx="1">
                  <c:v>-4.1276892246433878E-6</c:v>
                </c:pt>
                <c:pt idx="2" formatCode="0.00">
                  <c:v>-5.4023812889198589E-3</c:v>
                </c:pt>
                <c:pt idx="3" formatCode="0.00">
                  <c:v>-4.4142469484505009E-2</c:v>
                </c:pt>
                <c:pt idx="4" formatCode="0.0">
                  <c:v>-0.27738205509447322</c:v>
                </c:pt>
                <c:pt idx="5" formatCode="0.0">
                  <c:v>-0.4005720773893886</c:v>
                </c:pt>
                <c:pt idx="6" formatCode="0.0">
                  <c:v>-0.71739696122706598</c:v>
                </c:pt>
                <c:pt idx="7" formatCode="0.00">
                  <c:v>-0.99695495164283776</c:v>
                </c:pt>
                <c:pt idx="8" formatCode="0.0">
                  <c:v>-1.4563842277584849</c:v>
                </c:pt>
                <c:pt idx="9" formatCode="0.0">
                  <c:v>-1.6499594434723883</c:v>
                </c:pt>
                <c:pt idx="10" formatCode="0.0">
                  <c:v>-2.2797915411429233</c:v>
                </c:pt>
                <c:pt idx="11" formatCode="0.00">
                  <c:v>-3.0127147753460362</c:v>
                </c:pt>
                <c:pt idx="12" formatCode="0.00">
                  <c:v>-3.032317630156677</c:v>
                </c:pt>
                <c:pt idx="13" formatCode="0.00">
                  <c:v>-4.000110747103232</c:v>
                </c:pt>
                <c:pt idx="14" formatCode="0.0">
                  <c:v>-4.9705178903178053</c:v>
                </c:pt>
                <c:pt idx="15" formatCode="0.0">
                  <c:v>-6.2056844440222871</c:v>
                </c:pt>
                <c:pt idx="16" formatCode="0.0">
                  <c:v>-7.6705593567520101</c:v>
                </c:pt>
                <c:pt idx="17" formatCode="0.0">
                  <c:v>-9.4313347847828624</c:v>
                </c:pt>
                <c:pt idx="18" formatCode="0.0">
                  <c:v>-11.598757848232577</c:v>
                </c:pt>
                <c:pt idx="19" formatCode="0.0">
                  <c:v>-14.379972164109764</c:v>
                </c:pt>
                <c:pt idx="20" formatCode="0.0">
                  <c:v>-18.23891302992466</c:v>
                </c:pt>
                <c:pt idx="21" formatCode="0.0">
                  <c:v>-24.653120897049984</c:v>
                </c:pt>
                <c:pt idx="22" formatCode="0.0">
                  <c:v>-328.18278013735159</c:v>
                </c:pt>
                <c:pt idx="23" formatCode="0.0">
                  <c:v>-25.619214488541079</c:v>
                </c:pt>
                <c:pt idx="24" formatCode="0.0">
                  <c:v>-20.177113290085799</c:v>
                </c:pt>
                <c:pt idx="25" formatCode="0.0">
                  <c:v>-17.302532877674523</c:v>
                </c:pt>
                <c:pt idx="26" formatCode="0.0">
                  <c:v>-15.524650751111944</c:v>
                </c:pt>
                <c:pt idx="27" formatCode="0.0">
                  <c:v>-14.387024458997985</c:v>
                </c:pt>
                <c:pt idx="28" formatCode="0.0">
                  <c:v>-13.691159270031637</c:v>
                </c:pt>
                <c:pt idx="29" formatCode="0.0">
                  <c:v>-13.336630914298537</c:v>
                </c:pt>
                <c:pt idx="30" formatCode="0.0">
                  <c:v>-13.269984849734165</c:v>
                </c:pt>
                <c:pt idx="31" formatCode="0.0">
                  <c:v>-13.464822352896261</c:v>
                </c:pt>
                <c:pt idx="32" formatCode="0.0">
                  <c:v>-13.91367851716219</c:v>
                </c:pt>
                <c:pt idx="33" formatCode="0.0">
                  <c:v>-14.625790698836909</c:v>
                </c:pt>
                <c:pt idx="34" formatCode="0.0">
                  <c:v>-15.629359530192763</c:v>
                </c:pt>
                <c:pt idx="35" formatCode="0.0">
                  <c:v>-16.979701615331578</c:v>
                </c:pt>
                <c:pt idx="36" formatCode="0.0">
                  <c:v>-18.779196701065931</c:v>
                </c:pt>
                <c:pt idx="37" formatCode="0.0">
                  <c:v>-21.228425780553884</c:v>
                </c:pt>
                <c:pt idx="38" formatCode="0.0">
                  <c:v>-24.786091717651274</c:v>
                </c:pt>
                <c:pt idx="39" formatCode="0.0">
                  <c:v>-30.925503356490015</c:v>
                </c:pt>
                <c:pt idx="40" formatCode="0.0">
                  <c:v>-328.18278013735159</c:v>
                </c:pt>
                <c:pt idx="41" formatCode="0.0">
                  <c:v>-31.408176950824426</c:v>
                </c:pt>
                <c:pt idx="42" formatCode="0.0">
                  <c:v>-25.752185309142369</c:v>
                </c:pt>
                <c:pt idx="43" formatCode="0.0">
                  <c:v>-22.679439123526123</c:v>
                </c:pt>
                <c:pt idx="44" formatCode="0.0">
                  <c:v>-20.717396961227067</c:v>
                </c:pt>
                <c:pt idx="45" formatCode="0.0">
                  <c:v>-19.40814487304084</c:v>
                </c:pt>
                <c:pt idx="46" formatCode="0.0">
                  <c:v>-18.551920243757522</c:v>
                </c:pt>
                <c:pt idx="47" formatCode="0.0">
                  <c:v>-18.047199852449516</c:v>
                </c:pt>
                <c:pt idx="48" formatCode="0.0">
                  <c:v>-17.839571420041555</c:v>
                </c:pt>
                <c:pt idx="49" formatCode="0.0">
                  <c:v>-17.90179734522339</c:v>
                </c:pt>
                <c:pt idx="50" formatCode="0.0">
                  <c:v>-18.225674523949287</c:v>
                </c:pt>
                <c:pt idx="51" formatCode="0.0">
                  <c:v>-18.819787899572134</c:v>
                </c:pt>
                <c:pt idx="52" formatCode="0.0">
                  <c:v>-19.711759183311251</c:v>
                </c:pt>
                <c:pt idx="53" formatCode="0.0">
                  <c:v>-20.956389339216408</c:v>
                </c:pt>
                <c:pt idx="54" formatCode="0.0">
                  <c:v>-22.655597221388199</c:v>
                </c:pt>
                <c:pt idx="55" formatCode="0.0">
                  <c:v>-25.009550504954873</c:v>
                </c:pt>
                <c:pt idx="56" formatCode="0.0">
                  <c:v>-28.476580249502152</c:v>
                </c:pt>
                <c:pt idx="57" formatCode="0.0">
                  <c:v>-34.529659861500278</c:v>
                </c:pt>
                <c:pt idx="58" formatCode="0.0">
                  <c:v>-328.18278013735159</c:v>
                </c:pt>
                <c:pt idx="59" formatCode="0.0">
                  <c:v>-34.851396259369409</c:v>
                </c:pt>
                <c:pt idx="60" formatCode="0.0">
                  <c:v>-29.120273916930199</c:v>
                </c:pt>
                <c:pt idx="61" formatCode="0.0">
                  <c:v>-25.975644096445979</c:v>
                </c:pt>
                <c:pt idx="62" formatCode="0.0">
                  <c:v>-23.944757005926558</c:v>
                </c:pt>
                <c:pt idx="63" formatCode="0.0">
                  <c:v>-22.56950797148901</c:v>
                </c:pt>
                <c:pt idx="64" formatCode="0.0">
                  <c:v>-21.64995944347239</c:v>
                </c:pt>
                <c:pt idx="65" formatCode="0.0">
                  <c:v>-21.084427441073128</c:v>
                </c:pt>
                <c:pt idx="66" formatCode="0.0">
                  <c:v>-20.818351680282881</c:v>
                </c:pt>
                <c:pt idx="67" formatCode="0.0">
                  <c:v>-20.82435805878815</c:v>
                </c:pt>
                <c:pt idx="68" formatCode="0.0">
                  <c:v>-21.094117369995548</c:v>
                </c:pt>
                <c:pt idx="69" formatCode="0.0">
                  <c:v>-21.636097873714895</c:v>
                </c:pt>
                <c:pt idx="70" formatCode="0.0">
                  <c:v>-23.673963792662658</c:v>
                </c:pt>
                <c:pt idx="71" formatCode="0.0">
                  <c:v>-25.326375388792549</c:v>
                </c:pt>
                <c:pt idx="72" formatCode="0.0">
                  <c:v>-27.635128797741245</c:v>
                </c:pt>
                <c:pt idx="73" formatCode="0.0">
                  <c:v>-31.058474177091306</c:v>
                </c:pt>
                <c:pt idx="74" formatCode="0.0">
                  <c:v>-37.069309443865997</c:v>
                </c:pt>
                <c:pt idx="75" formatCode="0.0">
                  <c:v>-328.18278013735159</c:v>
                </c:pt>
                <c:pt idx="76" formatCode="0.0">
                  <c:v>-37.310599671893655</c:v>
                </c:pt>
                <c:pt idx="77" formatCode="0.0">
                  <c:v>-31.541147771425713</c:v>
                </c:pt>
                <c:pt idx="78" formatCode="0.0">
                  <c:v>-28.359372250830155</c:v>
                </c:pt>
                <c:pt idx="79" formatCode="0.0">
                  <c:v>-26.292468980283637</c:v>
                </c:pt>
                <c:pt idx="80" formatCode="0.0">
                  <c:v>-24.882282242095762</c:v>
                </c:pt>
                <c:pt idx="81" formatCode="0.0">
                  <c:v>-23.928826489609122</c:v>
                </c:pt>
                <c:pt idx="82" formatCode="0.0">
                  <c:v>-23.330372566666618</c:v>
                </c:pt>
                <c:pt idx="83" formatCode="0.0">
                  <c:v>-23.032317630156676</c:v>
                </c:pt>
                <c:pt idx="84" formatCode="0.0">
                  <c:v>-23.007247447289512</c:v>
                </c:pt>
                <c:pt idx="85" formatCode="0.0">
                  <c:v>-23.246794937992135</c:v>
                </c:pt>
                <c:pt idx="86" formatCode="0.0">
                  <c:v>-23.75939258837926</c:v>
                </c:pt>
                <c:pt idx="87" formatCode="0.0">
                  <c:v>-24.572520157037154</c:v>
                </c:pt>
              </c:numCache>
            </c:numRef>
          </c:yVal>
          <c:smooth val="1"/>
          <c:extLst>
            <c:ext xmlns:c16="http://schemas.microsoft.com/office/drawing/2014/chart" uri="{C3380CC4-5D6E-409C-BE32-E72D297353CC}">
              <c16:uniqueId val="{00000000-8E54-5340-955A-5A91366CA71F}"/>
            </c:ext>
          </c:extLst>
        </c:ser>
        <c:dLbls>
          <c:showLegendKey val="0"/>
          <c:showVal val="0"/>
          <c:showCatName val="0"/>
          <c:showSerName val="0"/>
          <c:showPercent val="0"/>
          <c:showBubbleSize val="0"/>
        </c:dLbls>
        <c:axId val="2138910432"/>
        <c:axId val="1"/>
      </c:scatterChart>
      <c:valAx>
        <c:axId val="2138910432"/>
        <c:scaling>
          <c:orientation val="minMax"/>
        </c:scaling>
        <c:delete val="0"/>
        <c:axPos val="b"/>
        <c:majorGridlines>
          <c:spPr>
            <a:ln w="3175">
              <a:solidFill>
                <a:srgbClr val="000000"/>
              </a:solidFill>
              <a:prstDash val="solid"/>
            </a:ln>
          </c:spPr>
        </c:majorGridlines>
        <c:title>
          <c:tx>
            <c:rich>
              <a:bodyPr/>
              <a:lstStyle/>
              <a:p>
                <a:pPr>
                  <a:defRPr sz="1675" b="1" i="0" u="none" strike="noStrike" baseline="0">
                    <a:solidFill>
                      <a:srgbClr val="000000"/>
                    </a:solidFill>
                    <a:latin typeface="Arial"/>
                    <a:ea typeface="Arial"/>
                    <a:cs typeface="Arial"/>
                  </a:defRPr>
                </a:pPr>
                <a:r>
                  <a:rPr lang="en-US"/>
                  <a:t>Angle from Boresight (Degrees)</a:t>
                </a:r>
              </a:p>
            </c:rich>
          </c:tx>
          <c:layout>
            <c:manualLayout>
              <c:xMode val="edge"/>
              <c:yMode val="edge"/>
              <c:x val="0.36901153410869514"/>
              <c:y val="0.88627615665688841"/>
            </c:manualLayout>
          </c:layout>
          <c:overlay val="0"/>
          <c:spPr>
            <a:noFill/>
            <a:ln w="25400">
              <a:noFill/>
            </a:ln>
          </c:spPr>
        </c:title>
        <c:numFmt formatCode="0.00" sourceLinked="0"/>
        <c:majorTickMark val="out"/>
        <c:minorTickMark val="out"/>
        <c:tickLblPos val="high"/>
        <c:spPr>
          <a:ln w="3175">
            <a:solidFill>
              <a:srgbClr val="000000"/>
            </a:solidFill>
            <a:prstDash val="solid"/>
          </a:ln>
        </c:spPr>
        <c:txPr>
          <a:bodyPr rot="0" vert="horz"/>
          <a:lstStyle/>
          <a:p>
            <a:pPr>
              <a:defRPr sz="1675"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max val="0"/>
          <c:min val="-50"/>
        </c:scaling>
        <c:delete val="0"/>
        <c:axPos val="l"/>
        <c:majorGridlines>
          <c:spPr>
            <a:ln w="3175">
              <a:solidFill>
                <a:srgbClr val="000000"/>
              </a:solidFill>
              <a:prstDash val="solid"/>
            </a:ln>
          </c:spPr>
        </c:majorGridlines>
        <c:title>
          <c:tx>
            <c:rich>
              <a:bodyPr/>
              <a:lstStyle/>
              <a:p>
                <a:pPr>
                  <a:defRPr sz="1675" b="1" i="0" u="none" strike="noStrike" baseline="0">
                    <a:solidFill>
                      <a:srgbClr val="000000"/>
                    </a:solidFill>
                    <a:latin typeface="Arial"/>
                    <a:ea typeface="Arial"/>
                    <a:cs typeface="Arial"/>
                  </a:defRPr>
                </a:pPr>
                <a:r>
                  <a:rPr lang="en-US"/>
                  <a:t> Amplitude w.r.t. Peak Gain (dB)</a:t>
                </a:r>
              </a:p>
            </c:rich>
          </c:tx>
          <c:layout>
            <c:manualLayout>
              <c:xMode val="edge"/>
              <c:yMode val="edge"/>
              <c:x val="1.7329255861365953E-2"/>
              <c:y val="0.27647120580515672"/>
            </c:manualLayout>
          </c:layout>
          <c:overlay val="0"/>
          <c:spPr>
            <a:noFill/>
            <a:ln w="25400">
              <a:noFill/>
            </a:ln>
          </c:spPr>
        </c:title>
        <c:numFmt formatCode="General" sourceLinked="0"/>
        <c:majorTickMark val="out"/>
        <c:minorTickMark val="out"/>
        <c:tickLblPos val="nextTo"/>
        <c:spPr>
          <a:ln w="3175">
            <a:solidFill>
              <a:srgbClr val="000000"/>
            </a:solidFill>
            <a:prstDash val="solid"/>
          </a:ln>
        </c:spPr>
        <c:txPr>
          <a:bodyPr rot="0" vert="horz"/>
          <a:lstStyle/>
          <a:p>
            <a:pPr>
              <a:defRPr sz="1675" b="0" i="0" u="none" strike="noStrike" baseline="0">
                <a:solidFill>
                  <a:srgbClr val="000000"/>
                </a:solidFill>
                <a:latin typeface="Arial"/>
                <a:ea typeface="Arial"/>
                <a:cs typeface="Arial"/>
              </a:defRPr>
            </a:pPr>
            <a:endParaRPr lang="en-US"/>
          </a:p>
        </c:txPr>
        <c:crossAx val="2138910432"/>
        <c:crosses val="autoZero"/>
        <c:crossBetween val="midCat"/>
        <c:majorUnit val="5"/>
        <c:minorUnit val="1"/>
      </c:valAx>
      <c:spPr>
        <a:solidFill>
          <a:srgbClr val="CCFFCC"/>
        </a:solidFill>
        <a:ln w="12700">
          <a:solidFill>
            <a:srgbClr val="808080"/>
          </a:solidFill>
          <a:prstDash val="solid"/>
        </a:ln>
      </c:spPr>
    </c:plotArea>
    <c:plotVisOnly val="1"/>
    <c:dispBlanksAs val="gap"/>
    <c:showDLblsOverMax val="0"/>
  </c:chart>
  <c:spPr>
    <a:solidFill>
      <a:srgbClr val="33CCCC"/>
    </a:solidFill>
    <a:ln w="3175">
      <a:solidFill>
        <a:srgbClr val="000000"/>
      </a:solidFill>
      <a:prstDash val="solid"/>
    </a:ln>
  </c:spPr>
  <c:txPr>
    <a:bodyPr/>
    <a:lstStyle/>
    <a:p>
      <a:pPr>
        <a:defRPr sz="16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96" verticalDpi="96"/>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chart" Target="../charts/chart3.xml"/><Relationship Id="rId5" Type="http://schemas.openxmlformats.org/officeDocument/2006/relationships/chart" Target="../charts/chart4.xml"/><Relationship Id="rId4"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457200</xdr:colOff>
      <xdr:row>4</xdr:row>
      <xdr:rowOff>101600</xdr:rowOff>
    </xdr:from>
    <xdr:to>
      <xdr:col>8</xdr:col>
      <xdr:colOff>101600</xdr:colOff>
      <xdr:row>4</xdr:row>
      <xdr:rowOff>101600</xdr:rowOff>
    </xdr:to>
    <xdr:sp macro="" textlink="">
      <xdr:nvSpPr>
        <xdr:cNvPr id="2204" name="Line 3">
          <a:extLst>
            <a:ext uri="{FF2B5EF4-FFF2-40B4-BE49-F238E27FC236}">
              <a16:creationId xmlns:a16="http://schemas.microsoft.com/office/drawing/2014/main" id="{5186D28A-FFD1-D245-B28B-24BE7EC98F53}"/>
            </a:ext>
          </a:extLst>
        </xdr:cNvPr>
        <xdr:cNvSpPr>
          <a:spLocks noChangeShapeType="1"/>
        </xdr:cNvSpPr>
      </xdr:nvSpPr>
      <xdr:spPr bwMode="auto">
        <a:xfrm flipV="1">
          <a:off x="10198100" y="1231900"/>
          <a:ext cx="292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101600</xdr:colOff>
      <xdr:row>4</xdr:row>
      <xdr:rowOff>101600</xdr:rowOff>
    </xdr:from>
    <xdr:to>
      <xdr:col>8</xdr:col>
      <xdr:colOff>101600</xdr:colOff>
      <xdr:row>5</xdr:row>
      <xdr:rowOff>114300</xdr:rowOff>
    </xdr:to>
    <xdr:sp macro="" textlink="">
      <xdr:nvSpPr>
        <xdr:cNvPr id="2205" name="Line 4">
          <a:extLst>
            <a:ext uri="{FF2B5EF4-FFF2-40B4-BE49-F238E27FC236}">
              <a16:creationId xmlns:a16="http://schemas.microsoft.com/office/drawing/2014/main" id="{3752CFE0-1A1F-2F4C-8281-0178CF70EB4F}"/>
            </a:ext>
          </a:extLst>
        </xdr:cNvPr>
        <xdr:cNvSpPr>
          <a:spLocks noChangeShapeType="1"/>
        </xdr:cNvSpPr>
      </xdr:nvSpPr>
      <xdr:spPr bwMode="auto">
        <a:xfrm>
          <a:off x="10490200" y="1231900"/>
          <a:ext cx="0" cy="177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139700</xdr:colOff>
      <xdr:row>7</xdr:row>
      <xdr:rowOff>63500</xdr:rowOff>
    </xdr:from>
    <xdr:to>
      <xdr:col>8</xdr:col>
      <xdr:colOff>139700</xdr:colOff>
      <xdr:row>8</xdr:row>
      <xdr:rowOff>152400</xdr:rowOff>
    </xdr:to>
    <xdr:sp macro="" textlink="">
      <xdr:nvSpPr>
        <xdr:cNvPr id="2206" name="Line 5">
          <a:extLst>
            <a:ext uri="{FF2B5EF4-FFF2-40B4-BE49-F238E27FC236}">
              <a16:creationId xmlns:a16="http://schemas.microsoft.com/office/drawing/2014/main" id="{A74C072D-53D4-1241-BEF1-5F96D981BA28}"/>
            </a:ext>
          </a:extLst>
        </xdr:cNvPr>
        <xdr:cNvSpPr>
          <a:spLocks noChangeShapeType="1"/>
        </xdr:cNvSpPr>
      </xdr:nvSpPr>
      <xdr:spPr bwMode="auto">
        <a:xfrm>
          <a:off x="10528300" y="1752600"/>
          <a:ext cx="0" cy="292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139700</xdr:colOff>
      <xdr:row>10</xdr:row>
      <xdr:rowOff>63500</xdr:rowOff>
    </xdr:from>
    <xdr:to>
      <xdr:col>8</xdr:col>
      <xdr:colOff>139700</xdr:colOff>
      <xdr:row>18</xdr:row>
      <xdr:rowOff>76200</xdr:rowOff>
    </xdr:to>
    <xdr:sp macro="" textlink="">
      <xdr:nvSpPr>
        <xdr:cNvPr id="2207" name="Line 6">
          <a:extLst>
            <a:ext uri="{FF2B5EF4-FFF2-40B4-BE49-F238E27FC236}">
              <a16:creationId xmlns:a16="http://schemas.microsoft.com/office/drawing/2014/main" id="{DB752E98-887E-2C45-B03F-3BB38E20E8BC}"/>
            </a:ext>
          </a:extLst>
        </xdr:cNvPr>
        <xdr:cNvSpPr>
          <a:spLocks noChangeShapeType="1"/>
        </xdr:cNvSpPr>
      </xdr:nvSpPr>
      <xdr:spPr bwMode="auto">
        <a:xfrm flipH="1">
          <a:off x="10528300" y="2349500"/>
          <a:ext cx="0" cy="165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152400</xdr:colOff>
      <xdr:row>20</xdr:row>
      <xdr:rowOff>63500</xdr:rowOff>
    </xdr:from>
    <xdr:to>
      <xdr:col>8</xdr:col>
      <xdr:colOff>152400</xdr:colOff>
      <xdr:row>21</xdr:row>
      <xdr:rowOff>177800</xdr:rowOff>
    </xdr:to>
    <xdr:sp macro="" textlink="">
      <xdr:nvSpPr>
        <xdr:cNvPr id="2208" name="Line 18">
          <a:extLst>
            <a:ext uri="{FF2B5EF4-FFF2-40B4-BE49-F238E27FC236}">
              <a16:creationId xmlns:a16="http://schemas.microsoft.com/office/drawing/2014/main" id="{73B20BF8-E890-F04A-B43B-060B1BE16823}"/>
            </a:ext>
          </a:extLst>
        </xdr:cNvPr>
        <xdr:cNvSpPr>
          <a:spLocks noChangeShapeType="1"/>
        </xdr:cNvSpPr>
      </xdr:nvSpPr>
      <xdr:spPr bwMode="auto">
        <a:xfrm>
          <a:off x="10541000" y="4419600"/>
          <a:ext cx="0" cy="317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88900</xdr:colOff>
      <xdr:row>19</xdr:row>
      <xdr:rowOff>114300</xdr:rowOff>
    </xdr:from>
    <xdr:to>
      <xdr:col>7</xdr:col>
      <xdr:colOff>533400</xdr:colOff>
      <xdr:row>19</xdr:row>
      <xdr:rowOff>114300</xdr:rowOff>
    </xdr:to>
    <xdr:sp macro="" textlink="">
      <xdr:nvSpPr>
        <xdr:cNvPr id="2209" name="Line 19">
          <a:extLst>
            <a:ext uri="{FF2B5EF4-FFF2-40B4-BE49-F238E27FC236}">
              <a16:creationId xmlns:a16="http://schemas.microsoft.com/office/drawing/2014/main" id="{7C334F71-AC07-6642-98F5-CAED28C74068}"/>
            </a:ext>
          </a:extLst>
        </xdr:cNvPr>
        <xdr:cNvSpPr>
          <a:spLocks noChangeShapeType="1"/>
        </xdr:cNvSpPr>
      </xdr:nvSpPr>
      <xdr:spPr bwMode="auto">
        <a:xfrm>
          <a:off x="9156700" y="4254500"/>
          <a:ext cx="1117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304800</xdr:colOff>
      <xdr:row>21</xdr:row>
      <xdr:rowOff>63500</xdr:rowOff>
    </xdr:from>
    <xdr:to>
      <xdr:col>12</xdr:col>
      <xdr:colOff>152400</xdr:colOff>
      <xdr:row>24</xdr:row>
      <xdr:rowOff>152400</xdr:rowOff>
    </xdr:to>
    <xdr:sp macro="" textlink="">
      <xdr:nvSpPr>
        <xdr:cNvPr id="2210" name="Rectangle 22">
          <a:extLst>
            <a:ext uri="{FF2B5EF4-FFF2-40B4-BE49-F238E27FC236}">
              <a16:creationId xmlns:a16="http://schemas.microsoft.com/office/drawing/2014/main" id="{52F8E672-EC21-3F40-8317-B31BEF64F602}"/>
            </a:ext>
          </a:extLst>
        </xdr:cNvPr>
        <xdr:cNvSpPr>
          <a:spLocks noChangeArrowheads="1"/>
        </xdr:cNvSpPr>
      </xdr:nvSpPr>
      <xdr:spPr bwMode="auto">
        <a:xfrm>
          <a:off x="10045700" y="4622800"/>
          <a:ext cx="2374900" cy="685800"/>
        </a:xfrm>
        <a:prstGeom prst="rect">
          <a:avLst/>
        </a:prstGeom>
        <a:noFill/>
        <a:ln w="19050">
          <a:solidFill>
            <a:srgbClr val="339966"/>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33</xdr:row>
      <xdr:rowOff>0</xdr:rowOff>
    </xdr:from>
    <xdr:to>
      <xdr:col>0</xdr:col>
      <xdr:colOff>203200</xdr:colOff>
      <xdr:row>34</xdr:row>
      <xdr:rowOff>38100</xdr:rowOff>
    </xdr:to>
    <xdr:sp macro="" textlink="">
      <xdr:nvSpPr>
        <xdr:cNvPr id="128080" name="Text Box 1">
          <a:extLst>
            <a:ext uri="{FF2B5EF4-FFF2-40B4-BE49-F238E27FC236}">
              <a16:creationId xmlns:a16="http://schemas.microsoft.com/office/drawing/2014/main" id="{7C9FB2F6-1BA9-764D-A953-1AFED63D9075}"/>
            </a:ext>
          </a:extLst>
        </xdr:cNvPr>
        <xdr:cNvSpPr txBox="1">
          <a:spLocks noChangeArrowheads="1"/>
        </xdr:cNvSpPr>
      </xdr:nvSpPr>
      <xdr:spPr bwMode="auto">
        <a:xfrm>
          <a:off x="114300" y="5575300"/>
          <a:ext cx="88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177800</xdr:colOff>
      <xdr:row>29</xdr:row>
      <xdr:rowOff>76200</xdr:rowOff>
    </xdr:from>
    <xdr:to>
      <xdr:col>0</xdr:col>
      <xdr:colOff>266700</xdr:colOff>
      <xdr:row>30</xdr:row>
      <xdr:rowOff>114300</xdr:rowOff>
    </xdr:to>
    <xdr:sp macro="" textlink="">
      <xdr:nvSpPr>
        <xdr:cNvPr id="128081" name="Text Box 4">
          <a:extLst>
            <a:ext uri="{FF2B5EF4-FFF2-40B4-BE49-F238E27FC236}">
              <a16:creationId xmlns:a16="http://schemas.microsoft.com/office/drawing/2014/main" id="{93434A7B-1A2C-AB4F-880B-7CC7EE86610D}"/>
            </a:ext>
          </a:extLst>
        </xdr:cNvPr>
        <xdr:cNvSpPr txBox="1">
          <a:spLocks noChangeArrowheads="1"/>
        </xdr:cNvSpPr>
      </xdr:nvSpPr>
      <xdr:spPr bwMode="auto">
        <a:xfrm>
          <a:off x="177800" y="4991100"/>
          <a:ext cx="88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12700</xdr:colOff>
      <xdr:row>13</xdr:row>
      <xdr:rowOff>190500</xdr:rowOff>
    </xdr:from>
    <xdr:to>
      <xdr:col>16</xdr:col>
      <xdr:colOff>368300</xdr:colOff>
      <xdr:row>36</xdr:row>
      <xdr:rowOff>165100</xdr:rowOff>
    </xdr:to>
    <xdr:graphicFrame macro="">
      <xdr:nvGraphicFramePr>
        <xdr:cNvPr id="128082" name="Chart 9">
          <a:extLst>
            <a:ext uri="{FF2B5EF4-FFF2-40B4-BE49-F238E27FC236}">
              <a16:creationId xmlns:a16="http://schemas.microsoft.com/office/drawing/2014/main" id="{7083D5E3-E2D8-E248-B905-562A24AC86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558800</xdr:colOff>
      <xdr:row>17</xdr:row>
      <xdr:rowOff>50800</xdr:rowOff>
    </xdr:from>
    <xdr:to>
      <xdr:col>9</xdr:col>
      <xdr:colOff>558800</xdr:colOff>
      <xdr:row>27</xdr:row>
      <xdr:rowOff>101600</xdr:rowOff>
    </xdr:to>
    <xdr:sp macro="" textlink="">
      <xdr:nvSpPr>
        <xdr:cNvPr id="128083" name="Line 11">
          <a:extLst>
            <a:ext uri="{FF2B5EF4-FFF2-40B4-BE49-F238E27FC236}">
              <a16:creationId xmlns:a16="http://schemas.microsoft.com/office/drawing/2014/main" id="{8A01E115-E86E-794C-928D-67F78F92FC1D}"/>
            </a:ext>
          </a:extLst>
        </xdr:cNvPr>
        <xdr:cNvSpPr>
          <a:spLocks noChangeShapeType="1"/>
        </xdr:cNvSpPr>
      </xdr:nvSpPr>
      <xdr:spPr bwMode="auto">
        <a:xfrm flipH="1">
          <a:off x="9575800" y="2984500"/>
          <a:ext cx="0" cy="1701800"/>
        </a:xfrm>
        <a:prstGeom prst="line">
          <a:avLst/>
        </a:prstGeom>
        <a:noFill/>
        <a:ln w="2857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558800</xdr:colOff>
      <xdr:row>15</xdr:row>
      <xdr:rowOff>0</xdr:rowOff>
    </xdr:from>
    <xdr:to>
      <xdr:col>9</xdr:col>
      <xdr:colOff>558800</xdr:colOff>
      <xdr:row>35</xdr:row>
      <xdr:rowOff>114300</xdr:rowOff>
    </xdr:to>
    <xdr:sp macro="" textlink="">
      <xdr:nvSpPr>
        <xdr:cNvPr id="128084" name="Line 12">
          <a:extLst>
            <a:ext uri="{FF2B5EF4-FFF2-40B4-BE49-F238E27FC236}">
              <a16:creationId xmlns:a16="http://schemas.microsoft.com/office/drawing/2014/main" id="{AC0AA0BA-28BE-9740-809E-6DD30B67BE1B}"/>
            </a:ext>
          </a:extLst>
        </xdr:cNvPr>
        <xdr:cNvSpPr>
          <a:spLocks noChangeShapeType="1"/>
        </xdr:cNvSpPr>
      </xdr:nvSpPr>
      <xdr:spPr bwMode="auto">
        <a:xfrm>
          <a:off x="9575800" y="2603500"/>
          <a:ext cx="0" cy="34290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254000</xdr:colOff>
      <xdr:row>16</xdr:row>
      <xdr:rowOff>76200</xdr:rowOff>
    </xdr:from>
    <xdr:to>
      <xdr:col>9</xdr:col>
      <xdr:colOff>520700</xdr:colOff>
      <xdr:row>32</xdr:row>
      <xdr:rowOff>25400</xdr:rowOff>
    </xdr:to>
    <xdr:sp macro="" textlink="">
      <xdr:nvSpPr>
        <xdr:cNvPr id="128085" name="Line 15">
          <a:extLst>
            <a:ext uri="{FF2B5EF4-FFF2-40B4-BE49-F238E27FC236}">
              <a16:creationId xmlns:a16="http://schemas.microsoft.com/office/drawing/2014/main" id="{65DBC5BC-C40F-8D4D-B034-A5168BA58C46}"/>
            </a:ext>
          </a:extLst>
        </xdr:cNvPr>
        <xdr:cNvSpPr>
          <a:spLocks noChangeShapeType="1"/>
        </xdr:cNvSpPr>
      </xdr:nvSpPr>
      <xdr:spPr bwMode="auto">
        <a:xfrm flipV="1">
          <a:off x="4851400" y="2844800"/>
          <a:ext cx="4686300" cy="2590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254000</xdr:colOff>
      <xdr:row>26</xdr:row>
      <xdr:rowOff>63500</xdr:rowOff>
    </xdr:from>
    <xdr:to>
      <xdr:col>7</xdr:col>
      <xdr:colOff>139700</xdr:colOff>
      <xdr:row>32</xdr:row>
      <xdr:rowOff>25400</xdr:rowOff>
    </xdr:to>
    <xdr:sp macro="" textlink="">
      <xdr:nvSpPr>
        <xdr:cNvPr id="128086" name="Line 16">
          <a:extLst>
            <a:ext uri="{FF2B5EF4-FFF2-40B4-BE49-F238E27FC236}">
              <a16:creationId xmlns:a16="http://schemas.microsoft.com/office/drawing/2014/main" id="{E69DDB75-5309-EA46-9B03-229D40B0F00C}"/>
            </a:ext>
          </a:extLst>
        </xdr:cNvPr>
        <xdr:cNvSpPr>
          <a:spLocks noChangeShapeType="1"/>
        </xdr:cNvSpPr>
      </xdr:nvSpPr>
      <xdr:spPr bwMode="auto">
        <a:xfrm flipV="1">
          <a:off x="4851400" y="4483100"/>
          <a:ext cx="2959100" cy="95250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393700</xdr:colOff>
      <xdr:row>16</xdr:row>
      <xdr:rowOff>63500</xdr:rowOff>
    </xdr:from>
    <xdr:to>
      <xdr:col>9</xdr:col>
      <xdr:colOff>558800</xdr:colOff>
      <xdr:row>16</xdr:row>
      <xdr:rowOff>63500</xdr:rowOff>
    </xdr:to>
    <xdr:sp macro="" textlink="">
      <xdr:nvSpPr>
        <xdr:cNvPr id="128087" name="Line 17">
          <a:extLst>
            <a:ext uri="{FF2B5EF4-FFF2-40B4-BE49-F238E27FC236}">
              <a16:creationId xmlns:a16="http://schemas.microsoft.com/office/drawing/2014/main" id="{4911FCB7-0BB4-7F44-9EF4-756A1C0AE5BC}"/>
            </a:ext>
          </a:extLst>
        </xdr:cNvPr>
        <xdr:cNvSpPr>
          <a:spLocks noChangeShapeType="1"/>
        </xdr:cNvSpPr>
      </xdr:nvSpPr>
      <xdr:spPr bwMode="auto">
        <a:xfrm flipH="1" flipV="1">
          <a:off x="8737600" y="2832100"/>
          <a:ext cx="838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254000</xdr:colOff>
      <xdr:row>32</xdr:row>
      <xdr:rowOff>63500</xdr:rowOff>
    </xdr:from>
    <xdr:to>
      <xdr:col>3</xdr:col>
      <xdr:colOff>546100</xdr:colOff>
      <xdr:row>36</xdr:row>
      <xdr:rowOff>50800</xdr:rowOff>
    </xdr:to>
    <xdr:sp macro="" textlink="">
      <xdr:nvSpPr>
        <xdr:cNvPr id="128088" name="Line 18">
          <a:extLst>
            <a:ext uri="{FF2B5EF4-FFF2-40B4-BE49-F238E27FC236}">
              <a16:creationId xmlns:a16="http://schemas.microsoft.com/office/drawing/2014/main" id="{8C3D7A24-6507-5A47-9A17-0080A45775B9}"/>
            </a:ext>
          </a:extLst>
        </xdr:cNvPr>
        <xdr:cNvSpPr>
          <a:spLocks noChangeShapeType="1"/>
        </xdr:cNvSpPr>
      </xdr:nvSpPr>
      <xdr:spPr bwMode="auto">
        <a:xfrm>
          <a:off x="4851400" y="5473700"/>
          <a:ext cx="292100" cy="6731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279400</xdr:colOff>
      <xdr:row>31</xdr:row>
      <xdr:rowOff>127000</xdr:rowOff>
    </xdr:from>
    <xdr:to>
      <xdr:col>3</xdr:col>
      <xdr:colOff>533400</xdr:colOff>
      <xdr:row>33</xdr:row>
      <xdr:rowOff>25400</xdr:rowOff>
    </xdr:to>
    <xdr:sp macro="" textlink="">
      <xdr:nvSpPr>
        <xdr:cNvPr id="128089" name="Rectangle 19">
          <a:extLst>
            <a:ext uri="{FF2B5EF4-FFF2-40B4-BE49-F238E27FC236}">
              <a16:creationId xmlns:a16="http://schemas.microsoft.com/office/drawing/2014/main" id="{61906942-9532-FE45-A393-66A9CF0E1E7D}"/>
            </a:ext>
          </a:extLst>
        </xdr:cNvPr>
        <xdr:cNvSpPr>
          <a:spLocks noChangeArrowheads="1"/>
        </xdr:cNvSpPr>
      </xdr:nvSpPr>
      <xdr:spPr bwMode="auto">
        <a:xfrm rot="-1073483">
          <a:off x="4876800" y="5372100"/>
          <a:ext cx="254000" cy="2286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215900</xdr:colOff>
      <xdr:row>31</xdr:row>
      <xdr:rowOff>139700</xdr:rowOff>
    </xdr:from>
    <xdr:to>
      <xdr:col>3</xdr:col>
      <xdr:colOff>304800</xdr:colOff>
      <xdr:row>32</xdr:row>
      <xdr:rowOff>63500</xdr:rowOff>
    </xdr:to>
    <xdr:sp macro="" textlink="">
      <xdr:nvSpPr>
        <xdr:cNvPr id="128090" name="Oval 13">
          <a:extLst>
            <a:ext uri="{FF2B5EF4-FFF2-40B4-BE49-F238E27FC236}">
              <a16:creationId xmlns:a16="http://schemas.microsoft.com/office/drawing/2014/main" id="{13690901-4F17-7B47-8855-975DB2995963}"/>
            </a:ext>
          </a:extLst>
        </xdr:cNvPr>
        <xdr:cNvSpPr>
          <a:spLocks noChangeArrowheads="1"/>
        </xdr:cNvSpPr>
      </xdr:nvSpPr>
      <xdr:spPr bwMode="auto">
        <a:xfrm>
          <a:off x="4813300" y="5384800"/>
          <a:ext cx="88900" cy="88900"/>
        </a:xfrm>
        <a:prstGeom prst="ellipse">
          <a:avLst/>
        </a:prstGeom>
        <a:solidFill>
          <a:srgbClr val="FF9900"/>
        </a:solidFill>
        <a:ln w="9525">
          <a:solidFill>
            <a:srgbClr val="000000"/>
          </a:solidFill>
          <a:round/>
          <a:headEnd/>
          <a:tailEnd/>
        </a:ln>
      </xdr:spPr>
    </xdr:sp>
    <xdr:clientData/>
  </xdr:twoCellAnchor>
  <xdr:twoCellAnchor>
    <xdr:from>
      <xdr:col>9</xdr:col>
      <xdr:colOff>520700</xdr:colOff>
      <xdr:row>16</xdr:row>
      <xdr:rowOff>12700</xdr:rowOff>
    </xdr:from>
    <xdr:to>
      <xdr:col>9</xdr:col>
      <xdr:colOff>609600</xdr:colOff>
      <xdr:row>16</xdr:row>
      <xdr:rowOff>101600</xdr:rowOff>
    </xdr:to>
    <xdr:sp macro="" textlink="">
      <xdr:nvSpPr>
        <xdr:cNvPr id="128091" name="Oval 10">
          <a:extLst>
            <a:ext uri="{FF2B5EF4-FFF2-40B4-BE49-F238E27FC236}">
              <a16:creationId xmlns:a16="http://schemas.microsoft.com/office/drawing/2014/main" id="{8249792F-7250-0B4D-9BF7-FC65A2F8A9C7}"/>
            </a:ext>
          </a:extLst>
        </xdr:cNvPr>
        <xdr:cNvSpPr>
          <a:spLocks noChangeArrowheads="1"/>
        </xdr:cNvSpPr>
      </xdr:nvSpPr>
      <xdr:spPr bwMode="auto">
        <a:xfrm>
          <a:off x="9537700" y="2781300"/>
          <a:ext cx="88900" cy="88900"/>
        </a:xfrm>
        <a:prstGeom prst="ellipse">
          <a:avLst/>
        </a:prstGeom>
        <a:solidFill>
          <a:srgbClr val="FF0000"/>
        </a:solidFill>
        <a:ln w="9525">
          <a:solidFill>
            <a:srgbClr val="000000"/>
          </a:solidFill>
          <a:round/>
          <a:headEnd/>
          <a:tailEnd/>
        </a:ln>
      </xdr:spPr>
    </xdr:sp>
    <xdr:clientData/>
  </xdr:twoCellAnchor>
  <xdr:oneCellAnchor>
    <xdr:from>
      <xdr:col>5</xdr:col>
      <xdr:colOff>536575</xdr:colOff>
      <xdr:row>34</xdr:row>
      <xdr:rowOff>76200</xdr:rowOff>
    </xdr:from>
    <xdr:ext cx="1073371" cy="170560"/>
    <xdr:sp macro="" textlink="">
      <xdr:nvSpPr>
        <xdr:cNvPr id="1044" name="Text Box 20">
          <a:extLst>
            <a:ext uri="{FF2B5EF4-FFF2-40B4-BE49-F238E27FC236}">
              <a16:creationId xmlns:a16="http://schemas.microsoft.com/office/drawing/2014/main" id="{76C22F2F-A38B-964A-884B-C99AEECC2721}"/>
            </a:ext>
          </a:extLst>
        </xdr:cNvPr>
        <xdr:cNvSpPr txBox="1">
          <a:spLocks noChangeArrowheads="1"/>
        </xdr:cNvSpPr>
      </xdr:nvSpPr>
      <xdr:spPr bwMode="auto">
        <a:xfrm>
          <a:off x="6708775" y="5816600"/>
          <a:ext cx="107337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To Center of Earth</a:t>
          </a:r>
        </a:p>
      </xdr:txBody>
    </xdr:sp>
    <xdr:clientData/>
  </xdr:oneCellAnchor>
  <xdr:twoCellAnchor>
    <xdr:from>
      <xdr:col>3</xdr:col>
      <xdr:colOff>622300</xdr:colOff>
      <xdr:row>35</xdr:row>
      <xdr:rowOff>12700</xdr:rowOff>
    </xdr:from>
    <xdr:to>
      <xdr:col>5</xdr:col>
      <xdr:colOff>457200</xdr:colOff>
      <xdr:row>35</xdr:row>
      <xdr:rowOff>152400</xdr:rowOff>
    </xdr:to>
    <xdr:sp macro="" textlink="">
      <xdr:nvSpPr>
        <xdr:cNvPr id="128093" name="Line 21">
          <a:extLst>
            <a:ext uri="{FF2B5EF4-FFF2-40B4-BE49-F238E27FC236}">
              <a16:creationId xmlns:a16="http://schemas.microsoft.com/office/drawing/2014/main" id="{763E9830-3F38-D74A-B64D-4D53E46F7F14}"/>
            </a:ext>
          </a:extLst>
        </xdr:cNvPr>
        <xdr:cNvSpPr>
          <a:spLocks noChangeShapeType="1"/>
        </xdr:cNvSpPr>
      </xdr:nvSpPr>
      <xdr:spPr bwMode="auto">
        <a:xfrm flipH="1">
          <a:off x="5219700" y="5930900"/>
          <a:ext cx="1409700" cy="13970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7</xdr:col>
      <xdr:colOff>368300</xdr:colOff>
      <xdr:row>35</xdr:row>
      <xdr:rowOff>12700</xdr:rowOff>
    </xdr:from>
    <xdr:to>
      <xdr:col>9</xdr:col>
      <xdr:colOff>355600</xdr:colOff>
      <xdr:row>35</xdr:row>
      <xdr:rowOff>63500</xdr:rowOff>
    </xdr:to>
    <xdr:sp macro="" textlink="">
      <xdr:nvSpPr>
        <xdr:cNvPr id="128094" name="Line 22">
          <a:extLst>
            <a:ext uri="{FF2B5EF4-FFF2-40B4-BE49-F238E27FC236}">
              <a16:creationId xmlns:a16="http://schemas.microsoft.com/office/drawing/2014/main" id="{BEFE4C4A-AB91-5245-8E67-CB280A35656E}"/>
            </a:ext>
          </a:extLst>
        </xdr:cNvPr>
        <xdr:cNvSpPr>
          <a:spLocks noChangeShapeType="1"/>
        </xdr:cNvSpPr>
      </xdr:nvSpPr>
      <xdr:spPr bwMode="auto">
        <a:xfrm>
          <a:off x="8039100" y="5930900"/>
          <a:ext cx="1333500" cy="5080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oneCellAnchor>
    <xdr:from>
      <xdr:col>10</xdr:col>
      <xdr:colOff>38100</xdr:colOff>
      <xdr:row>15</xdr:row>
      <xdr:rowOff>76200</xdr:rowOff>
    </xdr:from>
    <xdr:ext cx="694601" cy="182743"/>
    <xdr:sp macro="" textlink="">
      <xdr:nvSpPr>
        <xdr:cNvPr id="1047" name="Text Box 23">
          <a:extLst>
            <a:ext uri="{FF2B5EF4-FFF2-40B4-BE49-F238E27FC236}">
              <a16:creationId xmlns:a16="http://schemas.microsoft.com/office/drawing/2014/main" id="{43609279-642E-B74C-899F-9039D67B3CF5}"/>
            </a:ext>
          </a:extLst>
        </xdr:cNvPr>
        <xdr:cNvSpPr txBox="1">
          <a:spLocks noChangeArrowheads="1"/>
        </xdr:cNvSpPr>
      </xdr:nvSpPr>
      <xdr:spPr bwMode="auto">
        <a:xfrm>
          <a:off x="8629650" y="2733675"/>
          <a:ext cx="631455"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Spacecraft</a:t>
          </a:r>
        </a:p>
      </xdr:txBody>
    </xdr:sp>
    <xdr:clientData/>
  </xdr:oneCellAnchor>
  <xdr:oneCellAnchor>
    <xdr:from>
      <xdr:col>7</xdr:col>
      <xdr:colOff>644525</xdr:colOff>
      <xdr:row>15</xdr:row>
      <xdr:rowOff>0</xdr:rowOff>
    </xdr:from>
    <xdr:ext cx="780983" cy="170560"/>
    <xdr:sp macro="" textlink="">
      <xdr:nvSpPr>
        <xdr:cNvPr id="1048" name="Text Box 24">
          <a:extLst>
            <a:ext uri="{FF2B5EF4-FFF2-40B4-BE49-F238E27FC236}">
              <a16:creationId xmlns:a16="http://schemas.microsoft.com/office/drawing/2014/main" id="{EB3A31D8-134C-624B-A6F5-480628626B4C}"/>
            </a:ext>
          </a:extLst>
        </xdr:cNvPr>
        <xdr:cNvSpPr txBox="1">
          <a:spLocks noChangeArrowheads="1"/>
        </xdr:cNvSpPr>
      </xdr:nvSpPr>
      <xdr:spPr bwMode="auto">
        <a:xfrm>
          <a:off x="8315325" y="2603500"/>
          <a:ext cx="780983"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Orbit Velocity</a:t>
          </a:r>
        </a:p>
      </xdr:txBody>
    </xdr:sp>
    <xdr:clientData/>
  </xdr:oneCellAnchor>
  <xdr:oneCellAnchor>
    <xdr:from>
      <xdr:col>9</xdr:col>
      <xdr:colOff>568325</xdr:colOff>
      <xdr:row>29</xdr:row>
      <xdr:rowOff>152400</xdr:rowOff>
    </xdr:from>
    <xdr:ext cx="1069908" cy="170560"/>
    <xdr:sp macro="" textlink="">
      <xdr:nvSpPr>
        <xdr:cNvPr id="1049" name="Text Box 25">
          <a:extLst>
            <a:ext uri="{FF2B5EF4-FFF2-40B4-BE49-F238E27FC236}">
              <a16:creationId xmlns:a16="http://schemas.microsoft.com/office/drawing/2014/main" id="{D999E904-F085-4742-A9B2-C8764AF28685}"/>
            </a:ext>
          </a:extLst>
        </xdr:cNvPr>
        <xdr:cNvSpPr txBox="1">
          <a:spLocks noChangeArrowheads="1"/>
        </xdr:cNvSpPr>
      </xdr:nvSpPr>
      <xdr:spPr bwMode="auto">
        <a:xfrm>
          <a:off x="9585325" y="5067300"/>
          <a:ext cx="106990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Re</a:t>
          </a:r>
          <a:r>
            <a:rPr lang="en-US" sz="1000" b="0" i="0" strike="noStrike">
              <a:solidFill>
                <a:srgbClr val="000000"/>
              </a:solidFill>
              <a:latin typeface="Arial"/>
              <a:cs typeface="Arial"/>
            </a:rPr>
            <a:t> = 6378.136 km</a:t>
          </a:r>
        </a:p>
      </xdr:txBody>
    </xdr:sp>
    <xdr:clientData/>
  </xdr:oneCellAnchor>
  <xdr:oneCellAnchor>
    <xdr:from>
      <xdr:col>9</xdr:col>
      <xdr:colOff>609600</xdr:colOff>
      <xdr:row>21</xdr:row>
      <xdr:rowOff>38100</xdr:rowOff>
    </xdr:from>
    <xdr:ext cx="1789849" cy="170560"/>
    <xdr:sp macro="" textlink="">
      <xdr:nvSpPr>
        <xdr:cNvPr id="1050" name="Text Box 26">
          <a:extLst>
            <a:ext uri="{FF2B5EF4-FFF2-40B4-BE49-F238E27FC236}">
              <a16:creationId xmlns:a16="http://schemas.microsoft.com/office/drawing/2014/main" id="{0F3E32BB-89AF-424B-B3AF-3BAFE6A01FB4}"/>
            </a:ext>
          </a:extLst>
        </xdr:cNvPr>
        <xdr:cNvSpPr txBox="1">
          <a:spLocks noChangeArrowheads="1"/>
        </xdr:cNvSpPr>
      </xdr:nvSpPr>
      <xdr:spPr bwMode="auto">
        <a:xfrm>
          <a:off x="9626600" y="3632200"/>
          <a:ext cx="178984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h = </a:t>
          </a:r>
          <a:r>
            <a:rPr lang="en-US" sz="1000" b="0" i="0" strike="noStrike">
              <a:solidFill>
                <a:srgbClr val="000000"/>
              </a:solidFill>
              <a:latin typeface="Arial"/>
              <a:cs typeface="Arial"/>
            </a:rPr>
            <a:t>mean height above surface</a:t>
          </a:r>
        </a:p>
      </xdr:txBody>
    </xdr:sp>
    <xdr:clientData/>
  </xdr:oneCellAnchor>
  <xdr:oneCellAnchor>
    <xdr:from>
      <xdr:col>7</xdr:col>
      <xdr:colOff>88900</xdr:colOff>
      <xdr:row>24</xdr:row>
      <xdr:rowOff>76200</xdr:rowOff>
    </xdr:from>
    <xdr:ext cx="1111010" cy="180178"/>
    <xdr:sp macro="" textlink="">
      <xdr:nvSpPr>
        <xdr:cNvPr id="1051" name="Text Box 27">
          <a:extLst>
            <a:ext uri="{FF2B5EF4-FFF2-40B4-BE49-F238E27FC236}">
              <a16:creationId xmlns:a16="http://schemas.microsoft.com/office/drawing/2014/main" id="{D123A527-D21D-B145-BC82-835F618CD559}"/>
            </a:ext>
          </a:extLst>
        </xdr:cNvPr>
        <xdr:cNvSpPr txBox="1">
          <a:spLocks noChangeArrowheads="1"/>
        </xdr:cNvSpPr>
      </xdr:nvSpPr>
      <xdr:spPr bwMode="auto">
        <a:xfrm>
          <a:off x="7759700" y="4165600"/>
          <a:ext cx="1111010"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Symbol"/>
            </a:rPr>
            <a:t>d</a:t>
          </a:r>
          <a:r>
            <a:rPr lang="en-US" sz="1000" b="0" i="0" strike="noStrike">
              <a:solidFill>
                <a:srgbClr val="000000"/>
              </a:solidFill>
              <a:latin typeface="Symbol"/>
            </a:rPr>
            <a:t>  = </a:t>
          </a:r>
          <a:r>
            <a:rPr lang="en-US" sz="1000" b="0" i="0" strike="noStrike">
              <a:solidFill>
                <a:srgbClr val="000000"/>
              </a:solidFill>
              <a:latin typeface="Arial"/>
              <a:cs typeface="Arial"/>
            </a:rPr>
            <a:t>elevation angle</a:t>
          </a:r>
        </a:p>
      </xdr:txBody>
    </xdr:sp>
    <xdr:clientData/>
  </xdr:oneCellAnchor>
  <xdr:twoCellAnchor>
    <xdr:from>
      <xdr:col>6</xdr:col>
      <xdr:colOff>482600</xdr:colOff>
      <xdr:row>24</xdr:row>
      <xdr:rowOff>114300</xdr:rowOff>
    </xdr:from>
    <xdr:to>
      <xdr:col>6</xdr:col>
      <xdr:colOff>609600</xdr:colOff>
      <xdr:row>27</xdr:row>
      <xdr:rowOff>25400</xdr:rowOff>
    </xdr:to>
    <xdr:sp macro="" textlink="">
      <xdr:nvSpPr>
        <xdr:cNvPr id="128100" name="AutoShape 28">
          <a:extLst>
            <a:ext uri="{FF2B5EF4-FFF2-40B4-BE49-F238E27FC236}">
              <a16:creationId xmlns:a16="http://schemas.microsoft.com/office/drawing/2014/main" id="{04CB9E0A-FBC4-AC4C-A0D3-AD46856E55DD}"/>
            </a:ext>
          </a:extLst>
        </xdr:cNvPr>
        <xdr:cNvSpPr>
          <a:spLocks noChangeArrowheads="1"/>
        </xdr:cNvSpPr>
      </xdr:nvSpPr>
      <xdr:spPr bwMode="auto">
        <a:xfrm rot="4599354">
          <a:off x="7188200" y="4343400"/>
          <a:ext cx="406400" cy="127000"/>
        </a:xfrm>
        <a:prstGeom prst="curvedDownArrow">
          <a:avLst>
            <a:gd name="adj1" fmla="val 3793"/>
            <a:gd name="adj2" fmla="val 108770"/>
            <a:gd name="adj3" fmla="val 85426"/>
          </a:avLst>
        </a:prstGeom>
        <a:solidFill>
          <a:srgbClr val="FFFFFF"/>
        </a:solidFill>
        <a:ln w="9525">
          <a:solidFill>
            <a:srgbClr val="000000"/>
          </a:solidFill>
          <a:miter lim="800000"/>
          <a:headEnd/>
          <a:tailEnd/>
        </a:ln>
      </xdr:spPr>
    </xdr:sp>
    <xdr:clientData/>
  </xdr:twoCellAnchor>
  <xdr:twoCellAnchor editAs="oneCell">
    <xdr:from>
      <xdr:col>3</xdr:col>
      <xdr:colOff>511175</xdr:colOff>
      <xdr:row>30</xdr:row>
      <xdr:rowOff>114300</xdr:rowOff>
    </xdr:from>
    <xdr:to>
      <xdr:col>4</xdr:col>
      <xdr:colOff>571456</xdr:colOff>
      <xdr:row>33</xdr:row>
      <xdr:rowOff>0</xdr:rowOff>
    </xdr:to>
    <xdr:sp macro="" textlink="">
      <xdr:nvSpPr>
        <xdr:cNvPr id="1053" name="Text Box 29">
          <a:extLst>
            <a:ext uri="{FF2B5EF4-FFF2-40B4-BE49-F238E27FC236}">
              <a16:creationId xmlns:a16="http://schemas.microsoft.com/office/drawing/2014/main" id="{926BA2EB-5309-E44C-80F0-5C4494712FB2}"/>
            </a:ext>
          </a:extLst>
        </xdr:cNvPr>
        <xdr:cNvSpPr txBox="1">
          <a:spLocks noChangeArrowheads="1"/>
        </xdr:cNvSpPr>
      </xdr:nvSpPr>
      <xdr:spPr bwMode="auto">
        <a:xfrm>
          <a:off x="4467225" y="5200650"/>
          <a:ext cx="800100" cy="371475"/>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Earth Station</a:t>
          </a:r>
        </a:p>
      </xdr:txBody>
    </xdr:sp>
    <xdr:clientData/>
  </xdr:twoCellAnchor>
  <xdr:oneCellAnchor>
    <xdr:from>
      <xdr:col>5</xdr:col>
      <xdr:colOff>339725</xdr:colOff>
      <xdr:row>21</xdr:row>
      <xdr:rowOff>152400</xdr:rowOff>
    </xdr:from>
    <xdr:ext cx="991749" cy="182743"/>
    <xdr:sp macro="" textlink="">
      <xdr:nvSpPr>
        <xdr:cNvPr id="1054" name="Text Box 30">
          <a:extLst>
            <a:ext uri="{FF2B5EF4-FFF2-40B4-BE49-F238E27FC236}">
              <a16:creationId xmlns:a16="http://schemas.microsoft.com/office/drawing/2014/main" id="{C8F89B04-00B9-A842-82B3-6CCBAF593080}"/>
            </a:ext>
          </a:extLst>
        </xdr:cNvPr>
        <xdr:cNvSpPr txBox="1">
          <a:spLocks noChangeArrowheads="1"/>
        </xdr:cNvSpPr>
      </xdr:nvSpPr>
      <xdr:spPr bwMode="auto">
        <a:xfrm>
          <a:off x="5705475" y="3781425"/>
          <a:ext cx="955903"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S </a:t>
          </a:r>
          <a:r>
            <a:rPr lang="en-US" sz="1000" b="0" i="0" strike="noStrike">
              <a:solidFill>
                <a:srgbClr val="000000"/>
              </a:solidFill>
              <a:latin typeface="Arial"/>
              <a:cs typeface="Arial"/>
            </a:rPr>
            <a:t>= Slant Range</a:t>
          </a:r>
        </a:p>
      </xdr:txBody>
    </xdr:sp>
    <xdr:clientData/>
  </xdr:oneCellAnchor>
  <xdr:oneCellAnchor>
    <xdr:from>
      <xdr:col>10</xdr:col>
      <xdr:colOff>38100</xdr:colOff>
      <xdr:row>26</xdr:row>
      <xdr:rowOff>0</xdr:rowOff>
    </xdr:from>
    <xdr:ext cx="607639" cy="182743"/>
    <xdr:sp macro="" textlink="">
      <xdr:nvSpPr>
        <xdr:cNvPr id="1055" name="Text Box 31">
          <a:extLst>
            <a:ext uri="{FF2B5EF4-FFF2-40B4-BE49-F238E27FC236}">
              <a16:creationId xmlns:a16="http://schemas.microsoft.com/office/drawing/2014/main" id="{669A2834-9CE1-9646-9272-EF20363F4639}"/>
            </a:ext>
          </a:extLst>
        </xdr:cNvPr>
        <xdr:cNvSpPr txBox="1">
          <a:spLocks noChangeArrowheads="1"/>
        </xdr:cNvSpPr>
      </xdr:nvSpPr>
      <xdr:spPr bwMode="auto">
        <a:xfrm>
          <a:off x="8629650" y="4438650"/>
          <a:ext cx="531684"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r = h+Re</a:t>
          </a:r>
        </a:p>
      </xdr:txBody>
    </xdr:sp>
    <xdr:clientData/>
  </xdr:oneCellAnchor>
  <xdr:oneCellAnchor>
    <xdr:from>
      <xdr:col>11</xdr:col>
      <xdr:colOff>482600</xdr:colOff>
      <xdr:row>32</xdr:row>
      <xdr:rowOff>123825</xdr:rowOff>
    </xdr:from>
    <xdr:ext cx="2455154" cy="180178"/>
    <xdr:sp macro="" textlink="">
      <xdr:nvSpPr>
        <xdr:cNvPr id="1056" name="Text Box 32">
          <a:extLst>
            <a:ext uri="{FF2B5EF4-FFF2-40B4-BE49-F238E27FC236}">
              <a16:creationId xmlns:a16="http://schemas.microsoft.com/office/drawing/2014/main" id="{3D821764-C4DE-4740-960E-54D701589949}"/>
            </a:ext>
          </a:extLst>
        </xdr:cNvPr>
        <xdr:cNvSpPr txBox="1">
          <a:spLocks noChangeArrowheads="1"/>
        </xdr:cNvSpPr>
      </xdr:nvSpPr>
      <xdr:spPr bwMode="auto">
        <a:xfrm>
          <a:off x="9725025" y="5534025"/>
          <a:ext cx="2466573"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strike="noStrike">
              <a:solidFill>
                <a:srgbClr val="000000"/>
              </a:solidFill>
              <a:latin typeface="Arial"/>
              <a:cs typeface="Arial"/>
            </a:rPr>
            <a:t>S = Re[{r^2/Re^2 - cos^2(</a:t>
          </a:r>
          <a:r>
            <a:rPr lang="en-US" sz="1000" b="1" i="0" strike="noStrike">
              <a:solidFill>
                <a:srgbClr val="000000"/>
              </a:solidFill>
              <a:latin typeface="Symbol"/>
            </a:rPr>
            <a:t>d)}</a:t>
          </a:r>
          <a:r>
            <a:rPr lang="en-US" sz="1000" b="1" i="0" strike="noStrike">
              <a:solidFill>
                <a:srgbClr val="000000"/>
              </a:solidFill>
              <a:latin typeface="Arial"/>
              <a:cs typeface="Arial"/>
            </a:rPr>
            <a:t>^1/2 - sin </a:t>
          </a:r>
          <a:r>
            <a:rPr lang="en-US" sz="1000" b="1" i="0" strike="noStrike">
              <a:solidFill>
                <a:srgbClr val="000000"/>
              </a:solidFill>
              <a:latin typeface="Symbol"/>
            </a:rPr>
            <a:t>d ]</a:t>
          </a:r>
        </a:p>
      </xdr:txBody>
    </xdr:sp>
    <xdr:clientData/>
  </xdr:oneCellAnchor>
  <xdr:twoCellAnchor>
    <xdr:from>
      <xdr:col>4</xdr:col>
      <xdr:colOff>317500</xdr:colOff>
      <xdr:row>47</xdr:row>
      <xdr:rowOff>12700</xdr:rowOff>
    </xdr:from>
    <xdr:to>
      <xdr:col>5</xdr:col>
      <xdr:colOff>342900</xdr:colOff>
      <xdr:row>50</xdr:row>
      <xdr:rowOff>152400</xdr:rowOff>
    </xdr:to>
    <xdr:sp macro="" textlink="">
      <xdr:nvSpPr>
        <xdr:cNvPr id="128105" name="Oval 46">
          <a:extLst>
            <a:ext uri="{FF2B5EF4-FFF2-40B4-BE49-F238E27FC236}">
              <a16:creationId xmlns:a16="http://schemas.microsoft.com/office/drawing/2014/main" id="{6BB139BB-5E4F-F14E-9FB7-EC4A62DFA49E}"/>
            </a:ext>
          </a:extLst>
        </xdr:cNvPr>
        <xdr:cNvSpPr>
          <a:spLocks noChangeArrowheads="1"/>
        </xdr:cNvSpPr>
      </xdr:nvSpPr>
      <xdr:spPr bwMode="auto">
        <a:xfrm>
          <a:off x="5778500" y="8026400"/>
          <a:ext cx="736600" cy="635000"/>
        </a:xfrm>
        <a:prstGeom prst="ellipse">
          <a:avLst/>
        </a:prstGeom>
        <a:solidFill>
          <a:srgbClr val="00CCFF"/>
        </a:solidFill>
        <a:ln w="9525">
          <a:solidFill>
            <a:srgbClr val="000000"/>
          </a:solidFill>
          <a:round/>
          <a:headEnd/>
          <a:tailEnd/>
        </a:ln>
      </xdr:spPr>
    </xdr:sp>
    <xdr:clientData/>
  </xdr:twoCellAnchor>
  <xdr:twoCellAnchor>
    <xdr:from>
      <xdr:col>4</xdr:col>
      <xdr:colOff>0</xdr:colOff>
      <xdr:row>40</xdr:row>
      <xdr:rowOff>25400</xdr:rowOff>
    </xdr:from>
    <xdr:to>
      <xdr:col>11</xdr:col>
      <xdr:colOff>406400</xdr:colOff>
      <xdr:row>57</xdr:row>
      <xdr:rowOff>127000</xdr:rowOff>
    </xdr:to>
    <xdr:sp macro="" textlink="">
      <xdr:nvSpPr>
        <xdr:cNvPr id="128106" name="Oval 47">
          <a:extLst>
            <a:ext uri="{FF2B5EF4-FFF2-40B4-BE49-F238E27FC236}">
              <a16:creationId xmlns:a16="http://schemas.microsoft.com/office/drawing/2014/main" id="{9D02413C-5F8C-D64D-BA8A-8DE8EFE1E5E1}"/>
            </a:ext>
          </a:extLst>
        </xdr:cNvPr>
        <xdr:cNvSpPr>
          <a:spLocks noChangeArrowheads="1"/>
        </xdr:cNvSpPr>
      </xdr:nvSpPr>
      <xdr:spPr bwMode="auto">
        <a:xfrm>
          <a:off x="5461000" y="6883400"/>
          <a:ext cx="5511800" cy="290830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685800</xdr:colOff>
      <xdr:row>49</xdr:row>
      <xdr:rowOff>0</xdr:rowOff>
    </xdr:from>
    <xdr:to>
      <xdr:col>11</xdr:col>
      <xdr:colOff>393700</xdr:colOff>
      <xdr:row>49</xdr:row>
      <xdr:rowOff>0</xdr:rowOff>
    </xdr:to>
    <xdr:sp macro="" textlink="">
      <xdr:nvSpPr>
        <xdr:cNvPr id="128107" name="Line 48">
          <a:extLst>
            <a:ext uri="{FF2B5EF4-FFF2-40B4-BE49-F238E27FC236}">
              <a16:creationId xmlns:a16="http://schemas.microsoft.com/office/drawing/2014/main" id="{5E92DCE0-1341-3343-BE78-4C1526362C4A}"/>
            </a:ext>
          </a:extLst>
        </xdr:cNvPr>
        <xdr:cNvSpPr>
          <a:spLocks noChangeShapeType="1"/>
        </xdr:cNvSpPr>
      </xdr:nvSpPr>
      <xdr:spPr bwMode="auto">
        <a:xfrm>
          <a:off x="5283200" y="8343900"/>
          <a:ext cx="567690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190500</xdr:colOff>
      <xdr:row>42</xdr:row>
      <xdr:rowOff>25400</xdr:rowOff>
    </xdr:from>
    <xdr:to>
      <xdr:col>10</xdr:col>
      <xdr:colOff>406400</xdr:colOff>
      <xdr:row>43</xdr:row>
      <xdr:rowOff>12700</xdr:rowOff>
    </xdr:to>
    <xdr:sp macro="" textlink="">
      <xdr:nvSpPr>
        <xdr:cNvPr id="128108" name="AutoShape 49">
          <a:extLst>
            <a:ext uri="{FF2B5EF4-FFF2-40B4-BE49-F238E27FC236}">
              <a16:creationId xmlns:a16="http://schemas.microsoft.com/office/drawing/2014/main" id="{971CB2EA-F402-0C4A-8DCC-DA015CFE4A7D}"/>
            </a:ext>
          </a:extLst>
        </xdr:cNvPr>
        <xdr:cNvSpPr>
          <a:spLocks noChangeArrowheads="1"/>
        </xdr:cNvSpPr>
      </xdr:nvSpPr>
      <xdr:spPr bwMode="auto">
        <a:xfrm>
          <a:off x="9944100" y="7213600"/>
          <a:ext cx="215900" cy="152400"/>
        </a:xfrm>
        <a:prstGeom prst="flowChartMagneticDrum">
          <a:avLst/>
        </a:prstGeom>
        <a:solidFill>
          <a:srgbClr val="FFFFFF"/>
        </a:solidFill>
        <a:ln w="9525">
          <a:solidFill>
            <a:srgbClr val="000000"/>
          </a:solidFill>
          <a:round/>
          <a:headEnd/>
          <a:tailEnd/>
        </a:ln>
      </xdr:spPr>
    </xdr:sp>
    <xdr:clientData/>
  </xdr:twoCellAnchor>
  <xdr:twoCellAnchor>
    <xdr:from>
      <xdr:col>9</xdr:col>
      <xdr:colOff>228600</xdr:colOff>
      <xdr:row>42</xdr:row>
      <xdr:rowOff>101600</xdr:rowOff>
    </xdr:from>
    <xdr:to>
      <xdr:col>10</xdr:col>
      <xdr:colOff>215900</xdr:colOff>
      <xdr:row>42</xdr:row>
      <xdr:rowOff>101600</xdr:rowOff>
    </xdr:to>
    <xdr:sp macro="" textlink="">
      <xdr:nvSpPr>
        <xdr:cNvPr id="128109" name="Line 50">
          <a:extLst>
            <a:ext uri="{FF2B5EF4-FFF2-40B4-BE49-F238E27FC236}">
              <a16:creationId xmlns:a16="http://schemas.microsoft.com/office/drawing/2014/main" id="{EDE7B22F-31AB-7F40-9AAF-EAA1D807AE3F}"/>
            </a:ext>
          </a:extLst>
        </xdr:cNvPr>
        <xdr:cNvSpPr>
          <a:spLocks noChangeShapeType="1"/>
        </xdr:cNvSpPr>
      </xdr:nvSpPr>
      <xdr:spPr bwMode="auto">
        <a:xfrm flipH="1">
          <a:off x="9245600" y="7289800"/>
          <a:ext cx="723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685800</xdr:colOff>
      <xdr:row>42</xdr:row>
      <xdr:rowOff>101600</xdr:rowOff>
    </xdr:from>
    <xdr:to>
      <xdr:col>10</xdr:col>
      <xdr:colOff>292100</xdr:colOff>
      <xdr:row>49</xdr:row>
      <xdr:rowOff>0</xdr:rowOff>
    </xdr:to>
    <xdr:sp macro="" textlink="">
      <xdr:nvSpPr>
        <xdr:cNvPr id="128110" name="Line 51">
          <a:extLst>
            <a:ext uri="{FF2B5EF4-FFF2-40B4-BE49-F238E27FC236}">
              <a16:creationId xmlns:a16="http://schemas.microsoft.com/office/drawing/2014/main" id="{3D1E2FFE-BF4B-D345-A9E6-C85D42AD544A}"/>
            </a:ext>
          </a:extLst>
        </xdr:cNvPr>
        <xdr:cNvSpPr>
          <a:spLocks noChangeShapeType="1"/>
        </xdr:cNvSpPr>
      </xdr:nvSpPr>
      <xdr:spPr bwMode="auto">
        <a:xfrm flipH="1">
          <a:off x="6146800" y="7289800"/>
          <a:ext cx="3898900" cy="1054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673100</xdr:colOff>
      <xdr:row>48</xdr:row>
      <xdr:rowOff>101600</xdr:rowOff>
    </xdr:from>
    <xdr:to>
      <xdr:col>4</xdr:col>
      <xdr:colOff>673100</xdr:colOff>
      <xdr:row>49</xdr:row>
      <xdr:rowOff>76200</xdr:rowOff>
    </xdr:to>
    <xdr:sp macro="" textlink="">
      <xdr:nvSpPr>
        <xdr:cNvPr id="128111" name="Line 52">
          <a:extLst>
            <a:ext uri="{FF2B5EF4-FFF2-40B4-BE49-F238E27FC236}">
              <a16:creationId xmlns:a16="http://schemas.microsoft.com/office/drawing/2014/main" id="{DAE35968-62D0-4F48-9E8C-8901213F37D7}"/>
            </a:ext>
          </a:extLst>
        </xdr:cNvPr>
        <xdr:cNvSpPr>
          <a:spLocks noChangeShapeType="1"/>
        </xdr:cNvSpPr>
      </xdr:nvSpPr>
      <xdr:spPr bwMode="auto">
        <a:xfrm>
          <a:off x="6134100" y="8280400"/>
          <a:ext cx="0" cy="139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139700</xdr:colOff>
      <xdr:row>42</xdr:row>
      <xdr:rowOff>101600</xdr:rowOff>
    </xdr:from>
    <xdr:to>
      <xdr:col>9</xdr:col>
      <xdr:colOff>165100</xdr:colOff>
      <xdr:row>42</xdr:row>
      <xdr:rowOff>101600</xdr:rowOff>
    </xdr:to>
    <xdr:sp macro="" textlink="">
      <xdr:nvSpPr>
        <xdr:cNvPr id="128112" name="Line 53">
          <a:extLst>
            <a:ext uri="{FF2B5EF4-FFF2-40B4-BE49-F238E27FC236}">
              <a16:creationId xmlns:a16="http://schemas.microsoft.com/office/drawing/2014/main" id="{425FD3D9-EC58-C04B-B80A-3DF68BF66C74}"/>
            </a:ext>
          </a:extLst>
        </xdr:cNvPr>
        <xdr:cNvSpPr>
          <a:spLocks noChangeShapeType="1"/>
        </xdr:cNvSpPr>
      </xdr:nvSpPr>
      <xdr:spPr bwMode="auto">
        <a:xfrm flipH="1">
          <a:off x="6311900" y="7289800"/>
          <a:ext cx="287020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5</xdr:col>
      <xdr:colOff>101600</xdr:colOff>
      <xdr:row>42</xdr:row>
      <xdr:rowOff>101600</xdr:rowOff>
    </xdr:from>
    <xdr:to>
      <xdr:col>10</xdr:col>
      <xdr:colOff>279400</xdr:colOff>
      <xdr:row>50</xdr:row>
      <xdr:rowOff>139700</xdr:rowOff>
    </xdr:to>
    <xdr:sp macro="" textlink="">
      <xdr:nvSpPr>
        <xdr:cNvPr id="128113" name="Line 54">
          <a:extLst>
            <a:ext uri="{FF2B5EF4-FFF2-40B4-BE49-F238E27FC236}">
              <a16:creationId xmlns:a16="http://schemas.microsoft.com/office/drawing/2014/main" id="{A47670CD-D6D1-8247-892A-60CA60567C61}"/>
            </a:ext>
          </a:extLst>
        </xdr:cNvPr>
        <xdr:cNvSpPr>
          <a:spLocks noChangeShapeType="1"/>
        </xdr:cNvSpPr>
      </xdr:nvSpPr>
      <xdr:spPr bwMode="auto">
        <a:xfrm flipH="1">
          <a:off x="6273800" y="7289800"/>
          <a:ext cx="3759200" cy="135890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215900</xdr:colOff>
      <xdr:row>79</xdr:row>
      <xdr:rowOff>66675</xdr:rowOff>
    </xdr:from>
    <xdr:ext cx="3175998" cy="318036"/>
    <xdr:sp macro="" textlink="">
      <xdr:nvSpPr>
        <xdr:cNvPr id="1079" name="Text Box 55">
          <a:extLst>
            <a:ext uri="{FF2B5EF4-FFF2-40B4-BE49-F238E27FC236}">
              <a16:creationId xmlns:a16="http://schemas.microsoft.com/office/drawing/2014/main" id="{1D18A0F1-EF3C-8346-A06F-4E42F7F5CE92}"/>
            </a:ext>
          </a:extLst>
        </xdr:cNvPr>
        <xdr:cNvSpPr txBox="1">
          <a:spLocks noChangeArrowheads="1"/>
        </xdr:cNvSpPr>
      </xdr:nvSpPr>
      <xdr:spPr bwMode="auto">
        <a:xfrm>
          <a:off x="4813300" y="13515975"/>
          <a:ext cx="3175998" cy="318036"/>
        </a:xfrm>
        <a:prstGeom prst="rect">
          <a:avLst/>
        </a:prstGeom>
        <a:noFill/>
        <a:ln w="9525">
          <a:noFill/>
          <a:miter lim="800000"/>
          <a:headEnd/>
          <a:tailEnd/>
        </a:ln>
      </xdr:spPr>
      <xdr:txBody>
        <a:bodyPr wrap="none" lIns="18288" tIns="22860" rIns="0" bIns="0" anchor="t" upright="1">
          <a:spAutoFit/>
        </a:bodyPr>
        <a:lstStyle/>
        <a:p>
          <a:pPr algn="l" rtl="0">
            <a:lnSpc>
              <a:spcPts val="1100"/>
            </a:lnSpc>
            <a:defRPr sz="1000"/>
          </a:pPr>
          <a:r>
            <a:rPr lang="en-US" sz="1000" b="1" i="0" strike="noStrike">
              <a:solidFill>
                <a:srgbClr val="000000"/>
              </a:solidFill>
              <a:latin typeface="Arial"/>
              <a:cs typeface="Arial"/>
            </a:rPr>
            <a:t>3) </a:t>
          </a:r>
          <a:r>
            <a:rPr lang="en-US" sz="1000" b="0" i="0" strike="noStrike">
              <a:solidFill>
                <a:srgbClr val="000000"/>
              </a:solidFill>
              <a:latin typeface="Arial"/>
              <a:cs typeface="Arial"/>
            </a:rPr>
            <a:t>If CASE No. 14 is Selected, Choose Mean  Anomaly </a:t>
          </a:r>
        </a:p>
        <a:p>
          <a:pPr algn="l" rtl="0">
            <a:lnSpc>
              <a:spcPts val="1000"/>
            </a:lnSpc>
            <a:defRPr sz="1000"/>
          </a:pPr>
          <a:r>
            <a:rPr lang="en-US" sz="1000" b="0" i="0" strike="noStrike">
              <a:solidFill>
                <a:srgbClr val="000000"/>
              </a:solidFill>
              <a:latin typeface="Arial"/>
              <a:cs typeface="Arial"/>
            </a:rPr>
            <a:t>Value and S/C Rcvr Antenna Temp. and Enter Here.</a:t>
          </a:r>
        </a:p>
      </xdr:txBody>
    </xdr:sp>
    <xdr:clientData/>
  </xdr:oneCellAnchor>
  <xdr:twoCellAnchor>
    <xdr:from>
      <xdr:col>3</xdr:col>
      <xdr:colOff>190500</xdr:colOff>
      <xdr:row>79</xdr:row>
      <xdr:rowOff>38100</xdr:rowOff>
    </xdr:from>
    <xdr:to>
      <xdr:col>8</xdr:col>
      <xdr:colOff>228600</xdr:colOff>
      <xdr:row>81</xdr:row>
      <xdr:rowOff>114300</xdr:rowOff>
    </xdr:to>
    <xdr:sp macro="" textlink="">
      <xdr:nvSpPr>
        <xdr:cNvPr id="128115" name="Rectangle 56">
          <a:extLst>
            <a:ext uri="{FF2B5EF4-FFF2-40B4-BE49-F238E27FC236}">
              <a16:creationId xmlns:a16="http://schemas.microsoft.com/office/drawing/2014/main" id="{80FC58D8-CEDF-7345-85AC-630F35BB2C80}"/>
            </a:ext>
          </a:extLst>
        </xdr:cNvPr>
        <xdr:cNvSpPr>
          <a:spLocks noChangeArrowheads="1"/>
        </xdr:cNvSpPr>
      </xdr:nvSpPr>
      <xdr:spPr bwMode="auto">
        <a:xfrm>
          <a:off x="4787900" y="13487400"/>
          <a:ext cx="3784600" cy="4064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457200</xdr:colOff>
      <xdr:row>80</xdr:row>
      <xdr:rowOff>76200</xdr:rowOff>
    </xdr:from>
    <xdr:to>
      <xdr:col>3</xdr:col>
      <xdr:colOff>177800</xdr:colOff>
      <xdr:row>80</xdr:row>
      <xdr:rowOff>76200</xdr:rowOff>
    </xdr:to>
    <xdr:sp macro="" textlink="">
      <xdr:nvSpPr>
        <xdr:cNvPr id="128116" name="Line 57">
          <a:extLst>
            <a:ext uri="{FF2B5EF4-FFF2-40B4-BE49-F238E27FC236}">
              <a16:creationId xmlns:a16="http://schemas.microsoft.com/office/drawing/2014/main" id="{4A4486B6-0DAC-BB45-B5AE-253677101613}"/>
            </a:ext>
          </a:extLst>
        </xdr:cNvPr>
        <xdr:cNvSpPr>
          <a:spLocks noChangeShapeType="1"/>
        </xdr:cNvSpPr>
      </xdr:nvSpPr>
      <xdr:spPr bwMode="auto">
        <a:xfrm flipH="1">
          <a:off x="4089400" y="13690600"/>
          <a:ext cx="6858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469900</xdr:colOff>
      <xdr:row>77</xdr:row>
      <xdr:rowOff>139700</xdr:rowOff>
    </xdr:from>
    <xdr:to>
      <xdr:col>2</xdr:col>
      <xdr:colOff>469900</xdr:colOff>
      <xdr:row>80</xdr:row>
      <xdr:rowOff>63500</xdr:rowOff>
    </xdr:to>
    <xdr:sp macro="" textlink="">
      <xdr:nvSpPr>
        <xdr:cNvPr id="128117" name="Line 58">
          <a:extLst>
            <a:ext uri="{FF2B5EF4-FFF2-40B4-BE49-F238E27FC236}">
              <a16:creationId xmlns:a16="http://schemas.microsoft.com/office/drawing/2014/main" id="{2231EA22-3E60-D34A-94B0-F7AFFAD6A843}"/>
            </a:ext>
          </a:extLst>
        </xdr:cNvPr>
        <xdr:cNvSpPr>
          <a:spLocks noChangeShapeType="1"/>
        </xdr:cNvSpPr>
      </xdr:nvSpPr>
      <xdr:spPr bwMode="auto">
        <a:xfrm flipV="1">
          <a:off x="4102100" y="13258800"/>
          <a:ext cx="0" cy="4191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117475</xdr:colOff>
      <xdr:row>56</xdr:row>
      <xdr:rowOff>152400</xdr:rowOff>
    </xdr:from>
    <xdr:ext cx="2121093" cy="465512"/>
    <xdr:sp macro="" textlink="">
      <xdr:nvSpPr>
        <xdr:cNvPr id="1083" name="Text Box 59">
          <a:extLst>
            <a:ext uri="{FF2B5EF4-FFF2-40B4-BE49-F238E27FC236}">
              <a16:creationId xmlns:a16="http://schemas.microsoft.com/office/drawing/2014/main" id="{398DFBFC-4DF3-8044-B130-E6E9AE48A019}"/>
            </a:ext>
          </a:extLst>
        </xdr:cNvPr>
        <xdr:cNvSpPr txBox="1">
          <a:spLocks noChangeArrowheads="1"/>
        </xdr:cNvSpPr>
      </xdr:nvSpPr>
      <xdr:spPr bwMode="auto">
        <a:xfrm>
          <a:off x="117475" y="9652000"/>
          <a:ext cx="2121093" cy="465512"/>
        </a:xfrm>
        <a:prstGeom prst="rect">
          <a:avLst/>
        </a:prstGeom>
        <a:noFill/>
        <a:ln w="9525">
          <a:noFill/>
          <a:miter lim="800000"/>
          <a:headEnd/>
          <a:tailEnd/>
        </a:ln>
      </xdr:spPr>
      <xdr:txBody>
        <a:bodyPr wrap="none" lIns="18288" tIns="22860" rIns="0" bIns="0" anchor="t" upright="1">
          <a:spAutoFit/>
        </a:bodyPr>
        <a:lstStyle/>
        <a:p>
          <a:pPr algn="l" rtl="0">
            <a:lnSpc>
              <a:spcPts val="1100"/>
            </a:lnSpc>
            <a:defRPr sz="1000"/>
          </a:pPr>
          <a:r>
            <a:rPr lang="en-US" sz="1000" b="1" i="0" strike="noStrike">
              <a:solidFill>
                <a:srgbClr val="000000"/>
              </a:solidFill>
              <a:latin typeface="Arial"/>
              <a:cs typeface="Arial"/>
            </a:rPr>
            <a:t>2) </a:t>
          </a:r>
          <a:r>
            <a:rPr lang="en-US" sz="1000" b="0" i="0" strike="noStrike">
              <a:solidFill>
                <a:srgbClr val="000000"/>
              </a:solidFill>
              <a:latin typeface="Arial"/>
              <a:cs typeface="Arial"/>
            </a:rPr>
            <a:t>Choose Case No. and Enter Here.</a:t>
          </a:r>
        </a:p>
        <a:p>
          <a:pPr algn="l" rtl="0">
            <a:lnSpc>
              <a:spcPts val="1100"/>
            </a:lnSpc>
            <a:defRPr sz="1000"/>
          </a:pPr>
          <a:r>
            <a:rPr lang="en-US" sz="1000" b="0" i="0" strike="noStrike">
              <a:solidFill>
                <a:srgbClr val="000000"/>
              </a:solidFill>
              <a:latin typeface="Arial"/>
              <a:cs typeface="Arial"/>
            </a:rPr>
            <a:t>Proceed to "Uplink &amp; Downlink </a:t>
          </a:r>
        </a:p>
        <a:p>
          <a:pPr algn="l" rtl="0">
            <a:lnSpc>
              <a:spcPts val="1100"/>
            </a:lnSpc>
            <a:defRPr sz="1000"/>
          </a:pPr>
          <a:r>
            <a:rPr lang="en-US" sz="1000" b="0" i="0" strike="noStrike">
              <a:solidFill>
                <a:srgbClr val="000000"/>
              </a:solidFill>
              <a:latin typeface="Arial"/>
              <a:cs typeface="Arial"/>
            </a:rPr>
            <a:t>Choices" Below.</a:t>
          </a:r>
        </a:p>
      </xdr:txBody>
    </xdr:sp>
    <xdr:clientData/>
  </xdr:oneCellAnchor>
  <xdr:twoCellAnchor>
    <xdr:from>
      <xdr:col>0</xdr:col>
      <xdr:colOff>76200</xdr:colOff>
      <xdr:row>56</xdr:row>
      <xdr:rowOff>114300</xdr:rowOff>
    </xdr:from>
    <xdr:to>
      <xdr:col>1</xdr:col>
      <xdr:colOff>571500</xdr:colOff>
      <xdr:row>60</xdr:row>
      <xdr:rowOff>25400</xdr:rowOff>
    </xdr:to>
    <xdr:sp macro="" textlink="">
      <xdr:nvSpPr>
        <xdr:cNvPr id="128119" name="Rectangle 60">
          <a:extLst>
            <a:ext uri="{FF2B5EF4-FFF2-40B4-BE49-F238E27FC236}">
              <a16:creationId xmlns:a16="http://schemas.microsoft.com/office/drawing/2014/main" id="{6D0A3759-23D9-0C4C-B0DD-8CD6CDD084FD}"/>
            </a:ext>
          </a:extLst>
        </xdr:cNvPr>
        <xdr:cNvSpPr>
          <a:spLocks noChangeArrowheads="1"/>
        </xdr:cNvSpPr>
      </xdr:nvSpPr>
      <xdr:spPr bwMode="auto">
        <a:xfrm>
          <a:off x="76200" y="9613900"/>
          <a:ext cx="2654300" cy="5715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381000</xdr:colOff>
      <xdr:row>60</xdr:row>
      <xdr:rowOff>25400</xdr:rowOff>
    </xdr:from>
    <xdr:to>
      <xdr:col>1</xdr:col>
      <xdr:colOff>381000</xdr:colOff>
      <xdr:row>62</xdr:row>
      <xdr:rowOff>0</xdr:rowOff>
    </xdr:to>
    <xdr:sp macro="" textlink="">
      <xdr:nvSpPr>
        <xdr:cNvPr id="128120" name="Line 61">
          <a:extLst>
            <a:ext uri="{FF2B5EF4-FFF2-40B4-BE49-F238E27FC236}">
              <a16:creationId xmlns:a16="http://schemas.microsoft.com/office/drawing/2014/main" id="{3BE950F8-B4FE-3D42-9799-3F25004A8311}"/>
            </a:ext>
          </a:extLst>
        </xdr:cNvPr>
        <xdr:cNvSpPr>
          <a:spLocks noChangeShapeType="1"/>
        </xdr:cNvSpPr>
      </xdr:nvSpPr>
      <xdr:spPr bwMode="auto">
        <a:xfrm flipH="1">
          <a:off x="2540000" y="10185400"/>
          <a:ext cx="0" cy="3302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177800</xdr:colOff>
      <xdr:row>53</xdr:row>
      <xdr:rowOff>76200</xdr:rowOff>
    </xdr:from>
    <xdr:ext cx="1942840" cy="318036"/>
    <xdr:sp macro="" textlink="">
      <xdr:nvSpPr>
        <xdr:cNvPr id="1086" name="Text Box 62">
          <a:extLst>
            <a:ext uri="{FF2B5EF4-FFF2-40B4-BE49-F238E27FC236}">
              <a16:creationId xmlns:a16="http://schemas.microsoft.com/office/drawing/2014/main" id="{36280B5A-B4ED-B043-A922-F6212F03FBE6}"/>
            </a:ext>
          </a:extLst>
        </xdr:cNvPr>
        <xdr:cNvSpPr txBox="1">
          <a:spLocks noChangeArrowheads="1"/>
        </xdr:cNvSpPr>
      </xdr:nvSpPr>
      <xdr:spPr bwMode="auto">
        <a:xfrm>
          <a:off x="177800" y="9080500"/>
          <a:ext cx="1942840" cy="318036"/>
        </a:xfrm>
        <a:prstGeom prst="rect">
          <a:avLst/>
        </a:prstGeom>
        <a:noFill/>
        <a:ln w="9525">
          <a:noFill/>
          <a:miter lim="800000"/>
          <a:headEnd/>
          <a:tailEnd/>
        </a:ln>
      </xdr:spPr>
      <xdr:txBody>
        <a:bodyPr wrap="none" lIns="18288" tIns="22860" rIns="0" bIns="0" anchor="t" upright="1">
          <a:spAutoFit/>
        </a:bodyPr>
        <a:lstStyle/>
        <a:p>
          <a:pPr algn="l" rtl="0">
            <a:lnSpc>
              <a:spcPts val="1100"/>
            </a:lnSpc>
            <a:defRPr sz="1000"/>
          </a:pPr>
          <a:r>
            <a:rPr lang="en-US" sz="1000" b="1" i="0" strike="noStrike">
              <a:solidFill>
                <a:srgbClr val="000000"/>
              </a:solidFill>
              <a:latin typeface="Arial"/>
              <a:cs typeface="Arial"/>
            </a:rPr>
            <a:t>1)</a:t>
          </a:r>
          <a:r>
            <a:rPr lang="en-US" sz="1000" b="0" i="0" strike="noStrike">
              <a:solidFill>
                <a:srgbClr val="000000"/>
              </a:solidFill>
              <a:latin typeface="Arial"/>
              <a:cs typeface="Arial"/>
            </a:rPr>
            <a:t> To Change Orbit Keplarians</a:t>
          </a:r>
        </a:p>
        <a:p>
          <a:pPr algn="l" rtl="0">
            <a:lnSpc>
              <a:spcPts val="1000"/>
            </a:lnSpc>
            <a:defRPr sz="1000"/>
          </a:pPr>
          <a:r>
            <a:rPr lang="en-US" sz="1000" b="0" i="0" strike="noStrike">
              <a:solidFill>
                <a:srgbClr val="000000"/>
              </a:solidFill>
              <a:latin typeface="Arial"/>
              <a:cs typeface="Arial"/>
            </a:rPr>
            <a:t>Modify </a:t>
          </a:r>
          <a:r>
            <a:rPr lang="en-US" sz="1000" b="1" i="0" strike="noStrike">
              <a:solidFill>
                <a:srgbClr val="000000"/>
              </a:solidFill>
              <a:latin typeface="Arial"/>
              <a:cs typeface="Arial"/>
            </a:rPr>
            <a:t>ONLY</a:t>
          </a:r>
          <a:r>
            <a:rPr lang="en-US" sz="1000" b="0" i="0" strike="noStrike">
              <a:solidFill>
                <a:srgbClr val="000000"/>
              </a:solidFill>
              <a:latin typeface="Arial"/>
              <a:cs typeface="Arial"/>
            </a:rPr>
            <a:t> </a:t>
          </a:r>
          <a:r>
            <a:rPr lang="en-US" sz="1000" b="0" i="0" strike="noStrike">
              <a:solidFill>
                <a:srgbClr val="0000FF"/>
              </a:solidFill>
              <a:latin typeface="Arial"/>
              <a:cs typeface="Arial"/>
            </a:rPr>
            <a:t>Blue</a:t>
          </a:r>
          <a:r>
            <a:rPr lang="en-US" sz="1000" b="0" i="0" strike="noStrike">
              <a:solidFill>
                <a:srgbClr val="000000"/>
              </a:solidFill>
              <a:latin typeface="Arial"/>
              <a:cs typeface="Arial"/>
            </a:rPr>
            <a:t> Values Above.</a:t>
          </a:r>
        </a:p>
      </xdr:txBody>
    </xdr:sp>
    <xdr:clientData/>
  </xdr:oneCellAnchor>
  <xdr:twoCellAnchor>
    <xdr:from>
      <xdr:col>0</xdr:col>
      <xdr:colOff>127000</xdr:colOff>
      <xdr:row>53</xdr:row>
      <xdr:rowOff>63500</xdr:rowOff>
    </xdr:from>
    <xdr:to>
      <xdr:col>1</xdr:col>
      <xdr:colOff>508000</xdr:colOff>
      <xdr:row>55</xdr:row>
      <xdr:rowOff>139700</xdr:rowOff>
    </xdr:to>
    <xdr:sp macro="" textlink="">
      <xdr:nvSpPr>
        <xdr:cNvPr id="128122" name="Rectangle 63">
          <a:extLst>
            <a:ext uri="{FF2B5EF4-FFF2-40B4-BE49-F238E27FC236}">
              <a16:creationId xmlns:a16="http://schemas.microsoft.com/office/drawing/2014/main" id="{FEF294A0-46C0-C34E-B69A-9690474670DC}"/>
            </a:ext>
          </a:extLst>
        </xdr:cNvPr>
        <xdr:cNvSpPr>
          <a:spLocks noChangeArrowheads="1"/>
        </xdr:cNvSpPr>
      </xdr:nvSpPr>
      <xdr:spPr bwMode="auto">
        <a:xfrm>
          <a:off x="127000" y="9067800"/>
          <a:ext cx="2540000" cy="4064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342900</xdr:colOff>
      <xdr:row>77</xdr:row>
      <xdr:rowOff>88900</xdr:rowOff>
    </xdr:from>
    <xdr:to>
      <xdr:col>7</xdr:col>
      <xdr:colOff>622300</xdr:colOff>
      <xdr:row>77</xdr:row>
      <xdr:rowOff>88900</xdr:rowOff>
    </xdr:to>
    <xdr:sp macro="" textlink="">
      <xdr:nvSpPr>
        <xdr:cNvPr id="128123" name="Line 64">
          <a:extLst>
            <a:ext uri="{FF2B5EF4-FFF2-40B4-BE49-F238E27FC236}">
              <a16:creationId xmlns:a16="http://schemas.microsoft.com/office/drawing/2014/main" id="{B187FD22-9C1D-0642-ABD6-E29E23E3DFC3}"/>
            </a:ext>
          </a:extLst>
        </xdr:cNvPr>
        <xdr:cNvSpPr>
          <a:spLocks noChangeShapeType="1"/>
        </xdr:cNvSpPr>
      </xdr:nvSpPr>
      <xdr:spPr bwMode="auto">
        <a:xfrm flipH="1">
          <a:off x="8013700" y="13208000"/>
          <a:ext cx="27940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584200</xdr:colOff>
      <xdr:row>42</xdr:row>
      <xdr:rowOff>139700</xdr:rowOff>
    </xdr:from>
    <xdr:to>
      <xdr:col>9</xdr:col>
      <xdr:colOff>0</xdr:colOff>
      <xdr:row>44</xdr:row>
      <xdr:rowOff>38100</xdr:rowOff>
    </xdr:to>
    <xdr:sp macro="" textlink="">
      <xdr:nvSpPr>
        <xdr:cNvPr id="128124" name="AutoShape 65">
          <a:extLst>
            <a:ext uri="{FF2B5EF4-FFF2-40B4-BE49-F238E27FC236}">
              <a16:creationId xmlns:a16="http://schemas.microsoft.com/office/drawing/2014/main" id="{2DC2279C-4054-BE48-B275-2E98C10FCCC1}"/>
            </a:ext>
          </a:extLst>
        </xdr:cNvPr>
        <xdr:cNvSpPr>
          <a:spLocks noChangeArrowheads="1"/>
        </xdr:cNvSpPr>
      </xdr:nvSpPr>
      <xdr:spPr bwMode="auto">
        <a:xfrm>
          <a:off x="8928100" y="7327900"/>
          <a:ext cx="88900" cy="228600"/>
        </a:xfrm>
        <a:prstGeom prst="curvedRightArrow">
          <a:avLst>
            <a:gd name="adj1" fmla="val 3048"/>
            <a:gd name="adj2" fmla="val 102857"/>
            <a:gd name="adj3" fmla="val 37500"/>
          </a:avLst>
        </a:prstGeom>
        <a:solidFill>
          <a:srgbClr val="FFFFFF"/>
        </a:solidFill>
        <a:ln w="9525">
          <a:solidFill>
            <a:srgbClr val="000000"/>
          </a:solidFill>
          <a:miter lim="800000"/>
          <a:headEnd/>
          <a:tailEnd/>
        </a:ln>
      </xdr:spPr>
    </xdr:sp>
    <xdr:clientData/>
  </xdr:twoCellAnchor>
  <xdr:twoCellAnchor>
    <xdr:from>
      <xdr:col>6</xdr:col>
      <xdr:colOff>139700</xdr:colOff>
      <xdr:row>47</xdr:row>
      <xdr:rowOff>88900</xdr:rowOff>
    </xdr:from>
    <xdr:to>
      <xdr:col>6</xdr:col>
      <xdr:colOff>228600</xdr:colOff>
      <xdr:row>48</xdr:row>
      <xdr:rowOff>152400</xdr:rowOff>
    </xdr:to>
    <xdr:sp macro="" textlink="">
      <xdr:nvSpPr>
        <xdr:cNvPr id="128125" name="AutoShape 66">
          <a:extLst>
            <a:ext uri="{FF2B5EF4-FFF2-40B4-BE49-F238E27FC236}">
              <a16:creationId xmlns:a16="http://schemas.microsoft.com/office/drawing/2014/main" id="{5E533F61-C041-6240-916B-831E6C5707C8}"/>
            </a:ext>
          </a:extLst>
        </xdr:cNvPr>
        <xdr:cNvSpPr>
          <a:spLocks noChangeArrowheads="1"/>
        </xdr:cNvSpPr>
      </xdr:nvSpPr>
      <xdr:spPr bwMode="auto">
        <a:xfrm rot="10578723">
          <a:off x="6985000" y="8102600"/>
          <a:ext cx="88900" cy="228600"/>
        </a:xfrm>
        <a:prstGeom prst="curvedRightArrow">
          <a:avLst>
            <a:gd name="adj1" fmla="val 3048"/>
            <a:gd name="adj2" fmla="val 102857"/>
            <a:gd name="adj3" fmla="val 37500"/>
          </a:avLst>
        </a:prstGeom>
        <a:solidFill>
          <a:srgbClr val="FFFFFF"/>
        </a:solidFill>
        <a:ln w="9525">
          <a:solidFill>
            <a:srgbClr val="000000"/>
          </a:solidFill>
          <a:miter lim="800000"/>
          <a:headEnd/>
          <a:tailEnd/>
        </a:ln>
      </xdr:spPr>
    </xdr:sp>
    <xdr:clientData/>
  </xdr:twoCellAnchor>
  <xdr:twoCellAnchor>
    <xdr:from>
      <xdr:col>7</xdr:col>
      <xdr:colOff>368300</xdr:colOff>
      <xdr:row>45</xdr:row>
      <xdr:rowOff>152400</xdr:rowOff>
    </xdr:from>
    <xdr:to>
      <xdr:col>7</xdr:col>
      <xdr:colOff>457200</xdr:colOff>
      <xdr:row>46</xdr:row>
      <xdr:rowOff>127000</xdr:rowOff>
    </xdr:to>
    <xdr:sp macro="" textlink="">
      <xdr:nvSpPr>
        <xdr:cNvPr id="128126" name="AutoShape 67">
          <a:extLst>
            <a:ext uri="{FF2B5EF4-FFF2-40B4-BE49-F238E27FC236}">
              <a16:creationId xmlns:a16="http://schemas.microsoft.com/office/drawing/2014/main" id="{656D7C87-491F-8D46-A467-4D377F281334}"/>
            </a:ext>
          </a:extLst>
        </xdr:cNvPr>
        <xdr:cNvSpPr>
          <a:spLocks noChangeArrowheads="1"/>
        </xdr:cNvSpPr>
      </xdr:nvSpPr>
      <xdr:spPr bwMode="auto">
        <a:xfrm>
          <a:off x="8039100" y="7835900"/>
          <a:ext cx="88900" cy="139700"/>
        </a:xfrm>
        <a:prstGeom prst="curvedRightArrow">
          <a:avLst>
            <a:gd name="adj1" fmla="val 931"/>
            <a:gd name="adj2" fmla="val 61926"/>
            <a:gd name="adj3" fmla="val 12500"/>
          </a:avLst>
        </a:prstGeom>
        <a:solidFill>
          <a:srgbClr val="FFFFFF"/>
        </a:solidFill>
        <a:ln w="9525">
          <a:solidFill>
            <a:srgbClr val="000000"/>
          </a:solidFill>
          <a:miter lim="800000"/>
          <a:headEnd/>
          <a:tailEnd/>
        </a:ln>
      </xdr:spPr>
    </xdr:sp>
    <xdr:clientData/>
  </xdr:twoCellAnchor>
  <xdr:oneCellAnchor>
    <xdr:from>
      <xdr:col>9</xdr:col>
      <xdr:colOff>38100</xdr:colOff>
      <xdr:row>42</xdr:row>
      <xdr:rowOff>104775</xdr:rowOff>
    </xdr:from>
    <xdr:ext cx="111809" cy="180178"/>
    <xdr:sp macro="" textlink="">
      <xdr:nvSpPr>
        <xdr:cNvPr id="1092" name="Text Box 68">
          <a:extLst>
            <a:ext uri="{FF2B5EF4-FFF2-40B4-BE49-F238E27FC236}">
              <a16:creationId xmlns:a16="http://schemas.microsoft.com/office/drawing/2014/main" id="{FF725BD3-C810-A64C-BBF7-62E38780D896}"/>
            </a:ext>
          </a:extLst>
        </xdr:cNvPr>
        <xdr:cNvSpPr txBox="1">
          <a:spLocks noChangeArrowheads="1"/>
        </xdr:cNvSpPr>
      </xdr:nvSpPr>
      <xdr:spPr bwMode="auto">
        <a:xfrm>
          <a:off x="7981950" y="7248525"/>
          <a:ext cx="99386"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FF"/>
              </a:solidFill>
              <a:latin typeface="Symbol"/>
            </a:rPr>
            <a:t>a</a:t>
          </a:r>
        </a:p>
      </xdr:txBody>
    </xdr:sp>
    <xdr:clientData/>
  </xdr:oneCellAnchor>
  <xdr:oneCellAnchor>
    <xdr:from>
      <xdr:col>5</xdr:col>
      <xdr:colOff>625475</xdr:colOff>
      <xdr:row>47</xdr:row>
      <xdr:rowOff>152400</xdr:rowOff>
    </xdr:from>
    <xdr:ext cx="88870" cy="180178"/>
    <xdr:sp macro="" textlink="">
      <xdr:nvSpPr>
        <xdr:cNvPr id="1093" name="Text Box 69">
          <a:extLst>
            <a:ext uri="{FF2B5EF4-FFF2-40B4-BE49-F238E27FC236}">
              <a16:creationId xmlns:a16="http://schemas.microsoft.com/office/drawing/2014/main" id="{6639D1F2-0D8B-D94B-8937-35DAC57E0852}"/>
            </a:ext>
          </a:extLst>
        </xdr:cNvPr>
        <xdr:cNvSpPr txBox="1">
          <a:spLocks noChangeArrowheads="1"/>
        </xdr:cNvSpPr>
      </xdr:nvSpPr>
      <xdr:spPr bwMode="auto">
        <a:xfrm>
          <a:off x="6797675" y="8166100"/>
          <a:ext cx="88870"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FF"/>
              </a:solidFill>
              <a:latin typeface="Symbol"/>
            </a:rPr>
            <a:t>b</a:t>
          </a:r>
        </a:p>
      </xdr:txBody>
    </xdr:sp>
    <xdr:clientData/>
  </xdr:oneCellAnchor>
  <xdr:twoCellAnchor>
    <xdr:from>
      <xdr:col>4</xdr:col>
      <xdr:colOff>571500</xdr:colOff>
      <xdr:row>42</xdr:row>
      <xdr:rowOff>101600</xdr:rowOff>
    </xdr:from>
    <xdr:to>
      <xdr:col>10</xdr:col>
      <xdr:colOff>279400</xdr:colOff>
      <xdr:row>47</xdr:row>
      <xdr:rowOff>25400</xdr:rowOff>
    </xdr:to>
    <xdr:sp macro="" textlink="">
      <xdr:nvSpPr>
        <xdr:cNvPr id="128129" name="Line 70">
          <a:extLst>
            <a:ext uri="{FF2B5EF4-FFF2-40B4-BE49-F238E27FC236}">
              <a16:creationId xmlns:a16="http://schemas.microsoft.com/office/drawing/2014/main" id="{5FB68D10-13A7-024B-9588-78E3316E8E3B}"/>
            </a:ext>
          </a:extLst>
        </xdr:cNvPr>
        <xdr:cNvSpPr>
          <a:spLocks noChangeShapeType="1"/>
        </xdr:cNvSpPr>
      </xdr:nvSpPr>
      <xdr:spPr bwMode="auto">
        <a:xfrm flipH="1">
          <a:off x="6032500" y="7289800"/>
          <a:ext cx="4000500" cy="74930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609600</xdr:colOff>
      <xdr:row>45</xdr:row>
      <xdr:rowOff>88900</xdr:rowOff>
    </xdr:from>
    <xdr:to>
      <xdr:col>7</xdr:col>
      <xdr:colOff>25400</xdr:colOff>
      <xdr:row>48</xdr:row>
      <xdr:rowOff>63500</xdr:rowOff>
    </xdr:to>
    <xdr:sp macro="" textlink="">
      <xdr:nvSpPr>
        <xdr:cNvPr id="128130" name="AutoShape 71">
          <a:extLst>
            <a:ext uri="{FF2B5EF4-FFF2-40B4-BE49-F238E27FC236}">
              <a16:creationId xmlns:a16="http://schemas.microsoft.com/office/drawing/2014/main" id="{22A270B3-561E-C74F-B7C7-118B0EA6201E}"/>
            </a:ext>
          </a:extLst>
        </xdr:cNvPr>
        <xdr:cNvSpPr>
          <a:spLocks noChangeArrowheads="1"/>
        </xdr:cNvSpPr>
      </xdr:nvSpPr>
      <xdr:spPr bwMode="auto">
        <a:xfrm rot="-993328">
          <a:off x="7454900" y="7772400"/>
          <a:ext cx="241300" cy="469900"/>
        </a:xfrm>
        <a:prstGeom prst="curvedRightArrow">
          <a:avLst>
            <a:gd name="adj1" fmla="val 2308"/>
            <a:gd name="adj2" fmla="val 77895"/>
            <a:gd name="adj3" fmla="val 37500"/>
          </a:avLst>
        </a:prstGeom>
        <a:solidFill>
          <a:srgbClr val="FFFFFF"/>
        </a:solidFill>
        <a:ln w="9525">
          <a:solidFill>
            <a:srgbClr val="000000"/>
          </a:solidFill>
          <a:miter lim="800000"/>
          <a:headEnd/>
          <a:tailEnd/>
        </a:ln>
      </xdr:spPr>
    </xdr:sp>
    <xdr:clientData/>
  </xdr:twoCellAnchor>
  <xdr:oneCellAnchor>
    <xdr:from>
      <xdr:col>6</xdr:col>
      <xdr:colOff>638175</xdr:colOff>
      <xdr:row>45</xdr:row>
      <xdr:rowOff>85725</xdr:rowOff>
    </xdr:from>
    <xdr:ext cx="71173" cy="180178"/>
    <xdr:sp macro="" textlink="">
      <xdr:nvSpPr>
        <xdr:cNvPr id="1096" name="Text Box 72">
          <a:extLst>
            <a:ext uri="{FF2B5EF4-FFF2-40B4-BE49-F238E27FC236}">
              <a16:creationId xmlns:a16="http://schemas.microsoft.com/office/drawing/2014/main" id="{0D48266D-92CE-B24D-833F-B6D93F246A50}"/>
            </a:ext>
          </a:extLst>
        </xdr:cNvPr>
        <xdr:cNvSpPr txBox="1">
          <a:spLocks noChangeArrowheads="1"/>
        </xdr:cNvSpPr>
      </xdr:nvSpPr>
      <xdr:spPr bwMode="auto">
        <a:xfrm>
          <a:off x="6562725" y="7715250"/>
          <a:ext cx="71173"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FF"/>
              </a:solidFill>
              <a:latin typeface="Symbol"/>
            </a:rPr>
            <a:t>g</a:t>
          </a:r>
        </a:p>
      </xdr:txBody>
    </xdr:sp>
    <xdr:clientData/>
  </xdr:oneCellAnchor>
  <xdr:oneCellAnchor>
    <xdr:from>
      <xdr:col>7</xdr:col>
      <xdr:colOff>457200</xdr:colOff>
      <xdr:row>45</xdr:row>
      <xdr:rowOff>76200</xdr:rowOff>
    </xdr:from>
    <xdr:ext cx="190849" cy="180178"/>
    <xdr:sp macro="" textlink="">
      <xdr:nvSpPr>
        <xdr:cNvPr id="1097" name="Text Box 73">
          <a:extLst>
            <a:ext uri="{FF2B5EF4-FFF2-40B4-BE49-F238E27FC236}">
              <a16:creationId xmlns:a16="http://schemas.microsoft.com/office/drawing/2014/main" id="{5B3D28B1-BF29-CB40-A44C-4A590E019B78}"/>
            </a:ext>
          </a:extLst>
        </xdr:cNvPr>
        <xdr:cNvSpPr txBox="1">
          <a:spLocks noChangeArrowheads="1"/>
        </xdr:cNvSpPr>
      </xdr:nvSpPr>
      <xdr:spPr bwMode="auto">
        <a:xfrm>
          <a:off x="7143750" y="7705725"/>
          <a:ext cx="178126"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FF"/>
              </a:solidFill>
              <a:latin typeface="Symbol"/>
            </a:rPr>
            <a:t>g/</a:t>
          </a:r>
          <a:r>
            <a:rPr lang="en-US" sz="1000" b="0" i="0" strike="noStrike">
              <a:solidFill>
                <a:srgbClr val="0000FF"/>
              </a:solidFill>
              <a:latin typeface="Arial"/>
              <a:cs typeface="Arial"/>
            </a:rPr>
            <a:t>2</a:t>
          </a:r>
        </a:p>
      </xdr:txBody>
    </xdr:sp>
    <xdr:clientData/>
  </xdr:oneCellAnchor>
  <xdr:oneCellAnchor>
    <xdr:from>
      <xdr:col>3</xdr:col>
      <xdr:colOff>79375</xdr:colOff>
      <xdr:row>55</xdr:row>
      <xdr:rowOff>152400</xdr:rowOff>
    </xdr:from>
    <xdr:ext cx="1352934" cy="180178"/>
    <xdr:sp macro="" textlink="">
      <xdr:nvSpPr>
        <xdr:cNvPr id="1098" name="Text Box 74">
          <a:extLst>
            <a:ext uri="{FF2B5EF4-FFF2-40B4-BE49-F238E27FC236}">
              <a16:creationId xmlns:a16="http://schemas.microsoft.com/office/drawing/2014/main" id="{5AF4ECA1-6AF0-0144-A932-1FD76718FE98}"/>
            </a:ext>
          </a:extLst>
        </xdr:cNvPr>
        <xdr:cNvSpPr txBox="1">
          <a:spLocks noChangeArrowheads="1"/>
        </xdr:cNvSpPr>
      </xdr:nvSpPr>
      <xdr:spPr bwMode="auto">
        <a:xfrm>
          <a:off x="4676775" y="9486900"/>
          <a:ext cx="1352934"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Symbol"/>
            </a:rPr>
            <a:t>a = </a:t>
          </a:r>
          <a:r>
            <a:rPr lang="en-US" sz="1000" b="0" i="0" strike="noStrike">
              <a:solidFill>
                <a:srgbClr val="000000"/>
              </a:solidFill>
              <a:latin typeface="Arial"/>
              <a:cs typeface="Arial"/>
            </a:rPr>
            <a:t>S/C Off-Point Angle</a:t>
          </a:r>
        </a:p>
      </xdr:txBody>
    </xdr:sp>
    <xdr:clientData/>
  </xdr:oneCellAnchor>
  <xdr:oneCellAnchor>
    <xdr:from>
      <xdr:col>3</xdr:col>
      <xdr:colOff>38100</xdr:colOff>
      <xdr:row>57</xdr:row>
      <xdr:rowOff>38100</xdr:rowOff>
    </xdr:from>
    <xdr:ext cx="2571088" cy="180178"/>
    <xdr:sp macro="" textlink="">
      <xdr:nvSpPr>
        <xdr:cNvPr id="1099" name="Text Box 75">
          <a:extLst>
            <a:ext uri="{FF2B5EF4-FFF2-40B4-BE49-F238E27FC236}">
              <a16:creationId xmlns:a16="http://schemas.microsoft.com/office/drawing/2014/main" id="{78C2FF74-ECEA-0748-843C-799F322DB502}"/>
            </a:ext>
          </a:extLst>
        </xdr:cNvPr>
        <xdr:cNvSpPr txBox="1">
          <a:spLocks noChangeArrowheads="1"/>
        </xdr:cNvSpPr>
      </xdr:nvSpPr>
      <xdr:spPr bwMode="auto">
        <a:xfrm>
          <a:off x="4057650" y="9610725"/>
          <a:ext cx="2571088"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Symbol"/>
            </a:rPr>
            <a:t>b = (180-M)</a:t>
          </a:r>
          <a:r>
            <a:rPr lang="en-US" sz="1000" b="0" i="0" strike="noStrike">
              <a:solidFill>
                <a:srgbClr val="000000"/>
              </a:solidFill>
              <a:latin typeface="Arial"/>
              <a:cs typeface="Arial"/>
            </a:rPr>
            <a:t> deg.= Angle from S/C to Apogee</a:t>
          </a:r>
        </a:p>
      </xdr:txBody>
    </xdr:sp>
    <xdr:clientData/>
  </xdr:oneCellAnchor>
  <xdr:oneCellAnchor>
    <xdr:from>
      <xdr:col>3</xdr:col>
      <xdr:colOff>38100</xdr:colOff>
      <xdr:row>58</xdr:row>
      <xdr:rowOff>76200</xdr:rowOff>
    </xdr:from>
    <xdr:ext cx="2094291" cy="180178"/>
    <xdr:sp macro="" textlink="">
      <xdr:nvSpPr>
        <xdr:cNvPr id="1100" name="Text Box 76">
          <a:extLst>
            <a:ext uri="{FF2B5EF4-FFF2-40B4-BE49-F238E27FC236}">
              <a16:creationId xmlns:a16="http://schemas.microsoft.com/office/drawing/2014/main" id="{A3D6ED61-B5E7-434F-AC88-5352B70D4211}"/>
            </a:ext>
          </a:extLst>
        </xdr:cNvPr>
        <xdr:cNvSpPr txBox="1">
          <a:spLocks noChangeArrowheads="1"/>
        </xdr:cNvSpPr>
      </xdr:nvSpPr>
      <xdr:spPr bwMode="auto">
        <a:xfrm>
          <a:off x="4635500" y="9906000"/>
          <a:ext cx="2094291"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Symbol"/>
            </a:rPr>
            <a:t>g = </a:t>
          </a:r>
          <a:r>
            <a:rPr lang="en-US" sz="1000" b="0" i="0" strike="noStrike">
              <a:solidFill>
                <a:srgbClr val="000000"/>
              </a:solidFill>
              <a:latin typeface="Arial"/>
              <a:cs typeface="Arial"/>
            </a:rPr>
            <a:t>Earth Diameter as seen from S/C</a:t>
          </a:r>
        </a:p>
      </xdr:txBody>
    </xdr:sp>
    <xdr:clientData/>
  </xdr:oneCellAnchor>
  <xdr:oneCellAnchor>
    <xdr:from>
      <xdr:col>3</xdr:col>
      <xdr:colOff>38100</xdr:colOff>
      <xdr:row>59</xdr:row>
      <xdr:rowOff>76200</xdr:rowOff>
    </xdr:from>
    <xdr:ext cx="1985544" cy="180178"/>
    <xdr:sp macro="" textlink="">
      <xdr:nvSpPr>
        <xdr:cNvPr id="1101" name="Text Box 77">
          <a:extLst>
            <a:ext uri="{FF2B5EF4-FFF2-40B4-BE49-F238E27FC236}">
              <a16:creationId xmlns:a16="http://schemas.microsoft.com/office/drawing/2014/main" id="{32062AAF-FF15-E448-AAB7-F3C9AB1AA26B}"/>
            </a:ext>
          </a:extLst>
        </xdr:cNvPr>
        <xdr:cNvSpPr txBox="1">
          <a:spLocks noChangeArrowheads="1"/>
        </xdr:cNvSpPr>
      </xdr:nvSpPr>
      <xdr:spPr bwMode="auto">
        <a:xfrm>
          <a:off x="4635500" y="10071100"/>
          <a:ext cx="1985544"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Symbol"/>
            </a:rPr>
            <a:t>a + g/2 =  </a:t>
          </a:r>
          <a:r>
            <a:rPr lang="en-US" sz="1000" b="0" i="0" strike="noStrike">
              <a:solidFill>
                <a:srgbClr val="000000"/>
              </a:solidFill>
              <a:latin typeface="Arial"/>
              <a:cs typeface="Arial"/>
            </a:rPr>
            <a:t>Worst Case Squint Angle</a:t>
          </a:r>
        </a:p>
      </xdr:txBody>
    </xdr:sp>
    <xdr:clientData/>
  </xdr:oneCellAnchor>
  <xdr:oneCellAnchor>
    <xdr:from>
      <xdr:col>6</xdr:col>
      <xdr:colOff>352425</xdr:colOff>
      <xdr:row>41</xdr:row>
      <xdr:rowOff>104775</xdr:rowOff>
    </xdr:from>
    <xdr:ext cx="1137491" cy="170560"/>
    <xdr:sp macro="" textlink="">
      <xdr:nvSpPr>
        <xdr:cNvPr id="1102" name="Text Box 78">
          <a:extLst>
            <a:ext uri="{FF2B5EF4-FFF2-40B4-BE49-F238E27FC236}">
              <a16:creationId xmlns:a16="http://schemas.microsoft.com/office/drawing/2014/main" id="{DF161EE9-C0C2-7943-8D46-C7A4D4C16AD7}"/>
            </a:ext>
          </a:extLst>
        </xdr:cNvPr>
        <xdr:cNvSpPr txBox="1">
          <a:spLocks noChangeArrowheads="1"/>
        </xdr:cNvSpPr>
      </xdr:nvSpPr>
      <xdr:spPr bwMode="auto">
        <a:xfrm>
          <a:off x="7197725" y="7127875"/>
          <a:ext cx="113749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S/C Pointing Vector</a:t>
          </a:r>
        </a:p>
      </xdr:txBody>
    </xdr:sp>
    <xdr:clientData/>
  </xdr:oneCellAnchor>
  <xdr:oneCellAnchor>
    <xdr:from>
      <xdr:col>3</xdr:col>
      <xdr:colOff>88900</xdr:colOff>
      <xdr:row>54</xdr:row>
      <xdr:rowOff>38100</xdr:rowOff>
    </xdr:from>
    <xdr:ext cx="329674" cy="180178"/>
    <xdr:sp macro="" textlink="">
      <xdr:nvSpPr>
        <xdr:cNvPr id="1103" name="Text Box 79">
          <a:extLst>
            <a:ext uri="{FF2B5EF4-FFF2-40B4-BE49-F238E27FC236}">
              <a16:creationId xmlns:a16="http://schemas.microsoft.com/office/drawing/2014/main" id="{AAC03783-01DA-D345-9181-FE1B83EAAFF6}"/>
            </a:ext>
          </a:extLst>
        </xdr:cNvPr>
        <xdr:cNvSpPr txBox="1">
          <a:spLocks noChangeArrowheads="1"/>
        </xdr:cNvSpPr>
      </xdr:nvSpPr>
      <xdr:spPr bwMode="auto">
        <a:xfrm>
          <a:off x="4095750" y="9124950"/>
          <a:ext cx="304314" cy="180178"/>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Symbol"/>
            </a:rPr>
            <a:t>a = b</a:t>
          </a:r>
        </a:p>
      </xdr:txBody>
    </xdr:sp>
    <xdr:clientData/>
  </xdr:oneCellAnchor>
  <xdr:twoCellAnchor>
    <xdr:from>
      <xdr:col>3</xdr:col>
      <xdr:colOff>825500</xdr:colOff>
      <xdr:row>48</xdr:row>
      <xdr:rowOff>114300</xdr:rowOff>
    </xdr:from>
    <xdr:to>
      <xdr:col>4</xdr:col>
      <xdr:colOff>38100</xdr:colOff>
      <xdr:row>49</xdr:row>
      <xdr:rowOff>50800</xdr:rowOff>
    </xdr:to>
    <xdr:sp macro="" textlink="">
      <xdr:nvSpPr>
        <xdr:cNvPr id="128139" name="Oval 80">
          <a:extLst>
            <a:ext uri="{FF2B5EF4-FFF2-40B4-BE49-F238E27FC236}">
              <a16:creationId xmlns:a16="http://schemas.microsoft.com/office/drawing/2014/main" id="{F29BFDCD-C0A2-6748-8A42-87ED264548AB}"/>
            </a:ext>
          </a:extLst>
        </xdr:cNvPr>
        <xdr:cNvSpPr>
          <a:spLocks noChangeArrowheads="1"/>
        </xdr:cNvSpPr>
      </xdr:nvSpPr>
      <xdr:spPr bwMode="auto">
        <a:xfrm>
          <a:off x="5422900" y="8293100"/>
          <a:ext cx="76200" cy="101600"/>
        </a:xfrm>
        <a:prstGeom prst="ellipse">
          <a:avLst/>
        </a:prstGeom>
        <a:solidFill>
          <a:srgbClr val="FF0000"/>
        </a:solidFill>
        <a:ln w="9525">
          <a:solidFill>
            <a:srgbClr val="FF0000"/>
          </a:solidFill>
          <a:round/>
          <a:headEnd/>
          <a:tailEnd/>
        </a:ln>
      </xdr:spPr>
    </xdr:sp>
    <xdr:clientData/>
  </xdr:twoCellAnchor>
  <xdr:twoCellAnchor>
    <xdr:from>
      <xdr:col>11</xdr:col>
      <xdr:colOff>355600</xdr:colOff>
      <xdr:row>48</xdr:row>
      <xdr:rowOff>101600</xdr:rowOff>
    </xdr:from>
    <xdr:to>
      <xdr:col>11</xdr:col>
      <xdr:colOff>444500</xdr:colOff>
      <xdr:row>49</xdr:row>
      <xdr:rowOff>38100</xdr:rowOff>
    </xdr:to>
    <xdr:sp macro="" textlink="">
      <xdr:nvSpPr>
        <xdr:cNvPr id="128140" name="Oval 81">
          <a:extLst>
            <a:ext uri="{FF2B5EF4-FFF2-40B4-BE49-F238E27FC236}">
              <a16:creationId xmlns:a16="http://schemas.microsoft.com/office/drawing/2014/main" id="{D052E208-F823-5944-985E-2F275DAB9636}"/>
            </a:ext>
          </a:extLst>
        </xdr:cNvPr>
        <xdr:cNvSpPr>
          <a:spLocks noChangeArrowheads="1"/>
        </xdr:cNvSpPr>
      </xdr:nvSpPr>
      <xdr:spPr bwMode="auto">
        <a:xfrm>
          <a:off x="10922000" y="8280400"/>
          <a:ext cx="88900" cy="101600"/>
        </a:xfrm>
        <a:prstGeom prst="ellipse">
          <a:avLst/>
        </a:prstGeom>
        <a:solidFill>
          <a:srgbClr val="FF0000"/>
        </a:solidFill>
        <a:ln w="9525">
          <a:solidFill>
            <a:srgbClr val="FF0000"/>
          </a:solidFill>
          <a:round/>
          <a:headEnd/>
          <a:tailEnd/>
        </a:ln>
      </xdr:spPr>
    </xdr:sp>
    <xdr:clientData/>
  </xdr:twoCellAnchor>
  <xdr:twoCellAnchor>
    <xdr:from>
      <xdr:col>4</xdr:col>
      <xdr:colOff>647700</xdr:colOff>
      <xdr:row>54</xdr:row>
      <xdr:rowOff>76200</xdr:rowOff>
    </xdr:from>
    <xdr:to>
      <xdr:col>5</xdr:col>
      <xdr:colOff>25400</xdr:colOff>
      <xdr:row>55</xdr:row>
      <xdr:rowOff>12700</xdr:rowOff>
    </xdr:to>
    <xdr:sp macro="" textlink="">
      <xdr:nvSpPr>
        <xdr:cNvPr id="128141" name="Oval 82">
          <a:extLst>
            <a:ext uri="{FF2B5EF4-FFF2-40B4-BE49-F238E27FC236}">
              <a16:creationId xmlns:a16="http://schemas.microsoft.com/office/drawing/2014/main" id="{1D5064B4-8F41-2C45-9099-7AA7EDA15D1B}"/>
            </a:ext>
          </a:extLst>
        </xdr:cNvPr>
        <xdr:cNvSpPr>
          <a:spLocks noChangeArrowheads="1"/>
        </xdr:cNvSpPr>
      </xdr:nvSpPr>
      <xdr:spPr bwMode="auto">
        <a:xfrm>
          <a:off x="6108700" y="9245600"/>
          <a:ext cx="88900" cy="101600"/>
        </a:xfrm>
        <a:prstGeom prst="ellipse">
          <a:avLst/>
        </a:prstGeom>
        <a:solidFill>
          <a:srgbClr val="FF0000"/>
        </a:solidFill>
        <a:ln w="9525">
          <a:solidFill>
            <a:srgbClr val="FF0000"/>
          </a:solidFill>
          <a:round/>
          <a:headEnd/>
          <a:tailEnd/>
        </a:ln>
      </xdr:spPr>
    </xdr:sp>
    <xdr:clientData/>
  </xdr:twoCellAnchor>
  <xdr:twoCellAnchor>
    <xdr:from>
      <xdr:col>4</xdr:col>
      <xdr:colOff>114300</xdr:colOff>
      <xdr:row>51</xdr:row>
      <xdr:rowOff>101600</xdr:rowOff>
    </xdr:from>
    <xdr:to>
      <xdr:col>4</xdr:col>
      <xdr:colOff>203200</xdr:colOff>
      <xdr:row>52</xdr:row>
      <xdr:rowOff>25400</xdr:rowOff>
    </xdr:to>
    <xdr:sp macro="" textlink="">
      <xdr:nvSpPr>
        <xdr:cNvPr id="128142" name="Oval 83">
          <a:extLst>
            <a:ext uri="{FF2B5EF4-FFF2-40B4-BE49-F238E27FC236}">
              <a16:creationId xmlns:a16="http://schemas.microsoft.com/office/drawing/2014/main" id="{269A4F00-1708-E443-825C-7DF3CDDAE0A0}"/>
            </a:ext>
          </a:extLst>
        </xdr:cNvPr>
        <xdr:cNvSpPr>
          <a:spLocks noChangeArrowheads="1"/>
        </xdr:cNvSpPr>
      </xdr:nvSpPr>
      <xdr:spPr bwMode="auto">
        <a:xfrm>
          <a:off x="5575300" y="8775700"/>
          <a:ext cx="88900" cy="88900"/>
        </a:xfrm>
        <a:prstGeom prst="ellipse">
          <a:avLst/>
        </a:prstGeom>
        <a:solidFill>
          <a:srgbClr val="FF0000"/>
        </a:solidFill>
        <a:ln w="9525">
          <a:solidFill>
            <a:srgbClr val="FF0000"/>
          </a:solidFill>
          <a:round/>
          <a:headEnd/>
          <a:tailEnd/>
        </a:ln>
      </xdr:spPr>
    </xdr:sp>
    <xdr:clientData/>
  </xdr:twoCellAnchor>
  <xdr:twoCellAnchor>
    <xdr:from>
      <xdr:col>7</xdr:col>
      <xdr:colOff>330200</xdr:colOff>
      <xdr:row>57</xdr:row>
      <xdr:rowOff>63500</xdr:rowOff>
    </xdr:from>
    <xdr:to>
      <xdr:col>7</xdr:col>
      <xdr:colOff>406400</xdr:colOff>
      <xdr:row>58</xdr:row>
      <xdr:rowOff>0</xdr:rowOff>
    </xdr:to>
    <xdr:sp macro="" textlink="">
      <xdr:nvSpPr>
        <xdr:cNvPr id="128143" name="Oval 84">
          <a:extLst>
            <a:ext uri="{FF2B5EF4-FFF2-40B4-BE49-F238E27FC236}">
              <a16:creationId xmlns:a16="http://schemas.microsoft.com/office/drawing/2014/main" id="{55FAFEDA-26DB-EC49-AB0B-8987CC662471}"/>
            </a:ext>
          </a:extLst>
        </xdr:cNvPr>
        <xdr:cNvSpPr>
          <a:spLocks noChangeArrowheads="1"/>
        </xdr:cNvSpPr>
      </xdr:nvSpPr>
      <xdr:spPr bwMode="auto">
        <a:xfrm>
          <a:off x="8001000" y="9728200"/>
          <a:ext cx="76200" cy="101600"/>
        </a:xfrm>
        <a:prstGeom prst="ellipse">
          <a:avLst/>
        </a:prstGeom>
        <a:solidFill>
          <a:srgbClr val="FF0000"/>
        </a:solidFill>
        <a:ln w="9525">
          <a:solidFill>
            <a:srgbClr val="FF0000"/>
          </a:solidFill>
          <a:round/>
          <a:headEnd/>
          <a:tailEnd/>
        </a:ln>
      </xdr:spPr>
    </xdr:sp>
    <xdr:clientData/>
  </xdr:twoCellAnchor>
  <xdr:twoCellAnchor>
    <xdr:from>
      <xdr:col>10</xdr:col>
      <xdr:colOff>800100</xdr:colOff>
      <xdr:row>53</xdr:row>
      <xdr:rowOff>25400</xdr:rowOff>
    </xdr:from>
    <xdr:to>
      <xdr:col>11</xdr:col>
      <xdr:colOff>76200</xdr:colOff>
      <xdr:row>53</xdr:row>
      <xdr:rowOff>114300</xdr:rowOff>
    </xdr:to>
    <xdr:sp macro="" textlink="">
      <xdr:nvSpPr>
        <xdr:cNvPr id="128144" name="Oval 85">
          <a:extLst>
            <a:ext uri="{FF2B5EF4-FFF2-40B4-BE49-F238E27FC236}">
              <a16:creationId xmlns:a16="http://schemas.microsoft.com/office/drawing/2014/main" id="{61E4925B-B05A-4F46-A8BB-575D4CED1A75}"/>
            </a:ext>
          </a:extLst>
        </xdr:cNvPr>
        <xdr:cNvSpPr>
          <a:spLocks noChangeArrowheads="1"/>
        </xdr:cNvSpPr>
      </xdr:nvSpPr>
      <xdr:spPr bwMode="auto">
        <a:xfrm>
          <a:off x="10553700" y="9029700"/>
          <a:ext cx="88900" cy="88900"/>
        </a:xfrm>
        <a:prstGeom prst="ellipse">
          <a:avLst/>
        </a:prstGeom>
        <a:solidFill>
          <a:srgbClr val="FF0000"/>
        </a:solidFill>
        <a:ln w="9525">
          <a:solidFill>
            <a:srgbClr val="FF0000"/>
          </a:solidFill>
          <a:round/>
          <a:headEnd/>
          <a:tailEnd/>
        </a:ln>
      </xdr:spPr>
    </xdr:sp>
    <xdr:clientData/>
  </xdr:twoCellAnchor>
  <xdr:twoCellAnchor>
    <xdr:from>
      <xdr:col>9</xdr:col>
      <xdr:colOff>203200</xdr:colOff>
      <xdr:row>56</xdr:row>
      <xdr:rowOff>127000</xdr:rowOff>
    </xdr:from>
    <xdr:to>
      <xdr:col>9</xdr:col>
      <xdr:colOff>292100</xdr:colOff>
      <xdr:row>57</xdr:row>
      <xdr:rowOff>63500</xdr:rowOff>
    </xdr:to>
    <xdr:sp macro="" textlink="">
      <xdr:nvSpPr>
        <xdr:cNvPr id="128145" name="Oval 86">
          <a:extLst>
            <a:ext uri="{FF2B5EF4-FFF2-40B4-BE49-F238E27FC236}">
              <a16:creationId xmlns:a16="http://schemas.microsoft.com/office/drawing/2014/main" id="{656A058B-ABC7-3944-BE1F-FEE60D0C9C90}"/>
            </a:ext>
          </a:extLst>
        </xdr:cNvPr>
        <xdr:cNvSpPr>
          <a:spLocks noChangeArrowheads="1"/>
        </xdr:cNvSpPr>
      </xdr:nvSpPr>
      <xdr:spPr bwMode="auto">
        <a:xfrm>
          <a:off x="9220200" y="9626600"/>
          <a:ext cx="88900" cy="101600"/>
        </a:xfrm>
        <a:prstGeom prst="ellipse">
          <a:avLst/>
        </a:prstGeom>
        <a:solidFill>
          <a:srgbClr val="FF0000"/>
        </a:solidFill>
        <a:ln w="9525">
          <a:solidFill>
            <a:srgbClr val="FF0000"/>
          </a:solidFill>
          <a:round/>
          <a:headEnd/>
          <a:tailEnd/>
        </a:ln>
      </xdr:spPr>
    </xdr:sp>
    <xdr:clientData/>
  </xdr:twoCellAnchor>
  <xdr:oneCellAnchor>
    <xdr:from>
      <xdr:col>11</xdr:col>
      <xdr:colOff>561975</xdr:colOff>
      <xdr:row>48</xdr:row>
      <xdr:rowOff>85725</xdr:rowOff>
    </xdr:from>
    <xdr:ext cx="400622" cy="141001"/>
    <xdr:sp macro="" textlink="">
      <xdr:nvSpPr>
        <xdr:cNvPr id="1111" name="Text Box 87">
          <a:extLst>
            <a:ext uri="{FF2B5EF4-FFF2-40B4-BE49-F238E27FC236}">
              <a16:creationId xmlns:a16="http://schemas.microsoft.com/office/drawing/2014/main" id="{3D4BDE42-9DEA-144C-A59A-00D50DEB9BF3}"/>
            </a:ext>
          </a:extLst>
        </xdr:cNvPr>
        <xdr:cNvSpPr txBox="1">
          <a:spLocks noChangeArrowheads="1"/>
        </xdr:cNvSpPr>
      </xdr:nvSpPr>
      <xdr:spPr bwMode="auto">
        <a:xfrm>
          <a:off x="11128375" y="8264525"/>
          <a:ext cx="40062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strike="noStrike">
              <a:solidFill>
                <a:srgbClr val="000000"/>
              </a:solidFill>
              <a:latin typeface="Arial"/>
              <a:cs typeface="Arial"/>
            </a:rPr>
            <a:t>Case 13</a:t>
          </a:r>
        </a:p>
      </xdr:txBody>
    </xdr:sp>
    <xdr:clientData/>
  </xdr:oneCellAnchor>
  <xdr:oneCellAnchor>
    <xdr:from>
      <xdr:col>11</xdr:col>
      <xdr:colOff>177800</xdr:colOff>
      <xdr:row>53</xdr:row>
      <xdr:rowOff>66675</xdr:rowOff>
    </xdr:from>
    <xdr:ext cx="450700" cy="152751"/>
    <xdr:sp macro="" textlink="">
      <xdr:nvSpPr>
        <xdr:cNvPr id="1112" name="Text Box 88">
          <a:extLst>
            <a:ext uri="{FF2B5EF4-FFF2-40B4-BE49-F238E27FC236}">
              <a16:creationId xmlns:a16="http://schemas.microsoft.com/office/drawing/2014/main" id="{21C323ED-7790-454F-9008-0979FDF8BCC9}"/>
            </a:ext>
          </a:extLst>
        </xdr:cNvPr>
        <xdr:cNvSpPr txBox="1">
          <a:spLocks noChangeArrowheads="1"/>
        </xdr:cNvSpPr>
      </xdr:nvSpPr>
      <xdr:spPr bwMode="auto">
        <a:xfrm>
          <a:off x="9458325" y="8991600"/>
          <a:ext cx="40062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strike="noStrike">
              <a:solidFill>
                <a:srgbClr val="000000"/>
              </a:solidFill>
              <a:latin typeface="Arial"/>
              <a:cs typeface="Arial"/>
            </a:rPr>
            <a:t>Case 12</a:t>
          </a:r>
        </a:p>
      </xdr:txBody>
    </xdr:sp>
    <xdr:clientData/>
  </xdr:oneCellAnchor>
  <xdr:oneCellAnchor>
    <xdr:from>
      <xdr:col>9</xdr:col>
      <xdr:colOff>393700</xdr:colOff>
      <xdr:row>57</xdr:row>
      <xdr:rowOff>38100</xdr:rowOff>
    </xdr:from>
    <xdr:ext cx="400622" cy="141001"/>
    <xdr:sp macro="" textlink="">
      <xdr:nvSpPr>
        <xdr:cNvPr id="1113" name="Text Box 89">
          <a:extLst>
            <a:ext uri="{FF2B5EF4-FFF2-40B4-BE49-F238E27FC236}">
              <a16:creationId xmlns:a16="http://schemas.microsoft.com/office/drawing/2014/main" id="{BBF7E4CB-8985-7D45-AAB3-96B918C38E69}"/>
            </a:ext>
          </a:extLst>
        </xdr:cNvPr>
        <xdr:cNvSpPr txBox="1">
          <a:spLocks noChangeArrowheads="1"/>
        </xdr:cNvSpPr>
      </xdr:nvSpPr>
      <xdr:spPr bwMode="auto">
        <a:xfrm>
          <a:off x="9410700" y="9702800"/>
          <a:ext cx="40062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strike="noStrike">
              <a:solidFill>
                <a:srgbClr val="000000"/>
              </a:solidFill>
              <a:latin typeface="Arial"/>
              <a:cs typeface="Arial"/>
            </a:rPr>
            <a:t>Case 11</a:t>
          </a:r>
        </a:p>
      </xdr:txBody>
    </xdr:sp>
    <xdr:clientData/>
  </xdr:oneCellAnchor>
  <xdr:oneCellAnchor>
    <xdr:from>
      <xdr:col>7</xdr:col>
      <xdr:colOff>409575</xdr:colOff>
      <xdr:row>56</xdr:row>
      <xdr:rowOff>76200</xdr:rowOff>
    </xdr:from>
    <xdr:ext cx="400622" cy="141001"/>
    <xdr:sp macro="" textlink="">
      <xdr:nvSpPr>
        <xdr:cNvPr id="1114" name="Text Box 90">
          <a:extLst>
            <a:ext uri="{FF2B5EF4-FFF2-40B4-BE49-F238E27FC236}">
              <a16:creationId xmlns:a16="http://schemas.microsoft.com/office/drawing/2014/main" id="{AEC502B8-7942-9748-8A7D-7159A32FC90D}"/>
            </a:ext>
          </a:extLst>
        </xdr:cNvPr>
        <xdr:cNvSpPr txBox="1">
          <a:spLocks noChangeArrowheads="1"/>
        </xdr:cNvSpPr>
      </xdr:nvSpPr>
      <xdr:spPr bwMode="auto">
        <a:xfrm>
          <a:off x="8080375" y="9575800"/>
          <a:ext cx="40062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strike="noStrike">
              <a:solidFill>
                <a:srgbClr val="000000"/>
              </a:solidFill>
              <a:latin typeface="Arial"/>
              <a:cs typeface="Arial"/>
            </a:rPr>
            <a:t>Case 10</a:t>
          </a:r>
        </a:p>
      </xdr:txBody>
    </xdr:sp>
    <xdr:clientData/>
  </xdr:oneCellAnchor>
  <xdr:oneCellAnchor>
    <xdr:from>
      <xdr:col>5</xdr:col>
      <xdr:colOff>117475</xdr:colOff>
      <xdr:row>54</xdr:row>
      <xdr:rowOff>38100</xdr:rowOff>
    </xdr:from>
    <xdr:ext cx="381729" cy="152751"/>
    <xdr:sp macro="" textlink="">
      <xdr:nvSpPr>
        <xdr:cNvPr id="1115" name="Text Box 91">
          <a:extLst>
            <a:ext uri="{FF2B5EF4-FFF2-40B4-BE49-F238E27FC236}">
              <a16:creationId xmlns:a16="http://schemas.microsoft.com/office/drawing/2014/main" id="{3BCF5943-3A5A-FB4B-85A4-F644A60F89DA}"/>
            </a:ext>
          </a:extLst>
        </xdr:cNvPr>
        <xdr:cNvSpPr txBox="1">
          <a:spLocks noChangeArrowheads="1"/>
        </xdr:cNvSpPr>
      </xdr:nvSpPr>
      <xdr:spPr bwMode="auto">
        <a:xfrm>
          <a:off x="5495925" y="9124950"/>
          <a:ext cx="343556"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strike="noStrike">
              <a:solidFill>
                <a:srgbClr val="000000"/>
              </a:solidFill>
              <a:latin typeface="Arial"/>
              <a:cs typeface="Arial"/>
            </a:rPr>
            <a:t>Case 7</a:t>
          </a:r>
        </a:p>
      </xdr:txBody>
    </xdr:sp>
    <xdr:clientData/>
  </xdr:oneCellAnchor>
  <xdr:oneCellAnchor>
    <xdr:from>
      <xdr:col>3</xdr:col>
      <xdr:colOff>434975</xdr:colOff>
      <xdr:row>51</xdr:row>
      <xdr:rowOff>76200</xdr:rowOff>
    </xdr:from>
    <xdr:ext cx="424732" cy="170560"/>
    <xdr:sp macro="" textlink="">
      <xdr:nvSpPr>
        <xdr:cNvPr id="1116" name="Text Box 92">
          <a:extLst>
            <a:ext uri="{FF2B5EF4-FFF2-40B4-BE49-F238E27FC236}">
              <a16:creationId xmlns:a16="http://schemas.microsoft.com/office/drawing/2014/main" id="{4ECCCE42-D7A6-2C42-8F7C-2DEEA285DDB7}"/>
            </a:ext>
          </a:extLst>
        </xdr:cNvPr>
        <xdr:cNvSpPr txBox="1">
          <a:spLocks noChangeArrowheads="1"/>
        </xdr:cNvSpPr>
      </xdr:nvSpPr>
      <xdr:spPr bwMode="auto">
        <a:xfrm>
          <a:off x="5032375" y="8750300"/>
          <a:ext cx="424732"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Case 4</a:t>
          </a:r>
        </a:p>
      </xdr:txBody>
    </xdr:sp>
    <xdr:clientData/>
  </xdr:oneCellAnchor>
  <xdr:oneCellAnchor>
    <xdr:from>
      <xdr:col>3</xdr:col>
      <xdr:colOff>225425</xdr:colOff>
      <xdr:row>48</xdr:row>
      <xdr:rowOff>85725</xdr:rowOff>
    </xdr:from>
    <xdr:ext cx="394453" cy="166638"/>
    <xdr:sp macro="" textlink="">
      <xdr:nvSpPr>
        <xdr:cNvPr id="1117" name="Text Box 93">
          <a:extLst>
            <a:ext uri="{FF2B5EF4-FFF2-40B4-BE49-F238E27FC236}">
              <a16:creationId xmlns:a16="http://schemas.microsoft.com/office/drawing/2014/main" id="{35EDD30A-C5A8-CA4F-B156-9DDA5C47ED6C}"/>
            </a:ext>
          </a:extLst>
        </xdr:cNvPr>
        <xdr:cNvSpPr txBox="1">
          <a:spLocks noChangeArrowheads="1"/>
        </xdr:cNvSpPr>
      </xdr:nvSpPr>
      <xdr:spPr bwMode="auto">
        <a:xfrm>
          <a:off x="4219575" y="8201025"/>
          <a:ext cx="343556"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strike="noStrike">
              <a:solidFill>
                <a:srgbClr val="000000"/>
              </a:solidFill>
              <a:latin typeface="Arial"/>
              <a:cs typeface="Arial"/>
            </a:rPr>
            <a:t>Case 1</a:t>
          </a:r>
        </a:p>
      </xdr:txBody>
    </xdr:sp>
    <xdr:clientData/>
  </xdr:oneCellAnchor>
  <xdr:twoCellAnchor>
    <xdr:from>
      <xdr:col>6</xdr:col>
      <xdr:colOff>114300</xdr:colOff>
      <xdr:row>77</xdr:row>
      <xdr:rowOff>152400</xdr:rowOff>
    </xdr:from>
    <xdr:to>
      <xdr:col>6</xdr:col>
      <xdr:colOff>114300</xdr:colOff>
      <xdr:row>79</xdr:row>
      <xdr:rowOff>25400</xdr:rowOff>
    </xdr:to>
    <xdr:sp macro="" textlink="">
      <xdr:nvSpPr>
        <xdr:cNvPr id="128153" name="Line 94">
          <a:extLst>
            <a:ext uri="{FF2B5EF4-FFF2-40B4-BE49-F238E27FC236}">
              <a16:creationId xmlns:a16="http://schemas.microsoft.com/office/drawing/2014/main" id="{3BB2B7BE-ABB9-FF47-813F-718F2464EB3A}"/>
            </a:ext>
          </a:extLst>
        </xdr:cNvPr>
        <xdr:cNvSpPr>
          <a:spLocks noChangeShapeType="1"/>
        </xdr:cNvSpPr>
      </xdr:nvSpPr>
      <xdr:spPr bwMode="auto">
        <a:xfrm flipV="1">
          <a:off x="6959600" y="13271500"/>
          <a:ext cx="0" cy="2032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1622425</xdr:colOff>
      <xdr:row>63</xdr:row>
      <xdr:rowOff>152400</xdr:rowOff>
    </xdr:from>
    <xdr:ext cx="484389" cy="182743"/>
    <xdr:sp macro="" textlink="">
      <xdr:nvSpPr>
        <xdr:cNvPr id="1119" name="Text Box 95">
          <a:extLst>
            <a:ext uri="{FF2B5EF4-FFF2-40B4-BE49-F238E27FC236}">
              <a16:creationId xmlns:a16="http://schemas.microsoft.com/office/drawing/2014/main" id="{6673BF64-F37F-7A4B-A209-10A6B6292A9A}"/>
            </a:ext>
          </a:extLst>
        </xdr:cNvPr>
        <xdr:cNvSpPr txBox="1">
          <a:spLocks noChangeArrowheads="1"/>
        </xdr:cNvSpPr>
      </xdr:nvSpPr>
      <xdr:spPr bwMode="auto">
        <a:xfrm>
          <a:off x="1419225" y="10725150"/>
          <a:ext cx="44614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FF0000"/>
              </a:solidFill>
              <a:latin typeface="Arial"/>
              <a:cs typeface="Arial"/>
            </a:rPr>
            <a:t>perigee</a:t>
          </a:r>
        </a:p>
      </xdr:txBody>
    </xdr:sp>
    <xdr:clientData/>
  </xdr:oneCellAnchor>
  <xdr:oneCellAnchor>
    <xdr:from>
      <xdr:col>0</xdr:col>
      <xdr:colOff>1603375</xdr:colOff>
      <xdr:row>76</xdr:row>
      <xdr:rowOff>0</xdr:rowOff>
    </xdr:from>
    <xdr:ext cx="471069" cy="182743"/>
    <xdr:sp macro="" textlink="">
      <xdr:nvSpPr>
        <xdr:cNvPr id="1120" name="Text Box 96">
          <a:extLst>
            <a:ext uri="{FF2B5EF4-FFF2-40B4-BE49-F238E27FC236}">
              <a16:creationId xmlns:a16="http://schemas.microsoft.com/office/drawing/2014/main" id="{EB3E2EFD-1550-AA47-B7CA-0B98CD9D81C5}"/>
            </a:ext>
          </a:extLst>
        </xdr:cNvPr>
        <xdr:cNvSpPr txBox="1">
          <a:spLocks noChangeArrowheads="1"/>
        </xdr:cNvSpPr>
      </xdr:nvSpPr>
      <xdr:spPr bwMode="auto">
        <a:xfrm>
          <a:off x="1400175" y="12763500"/>
          <a:ext cx="446276"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FF0000"/>
              </a:solidFill>
              <a:latin typeface="Arial"/>
              <a:cs typeface="Arial"/>
            </a:rPr>
            <a:t>apogee</a:t>
          </a:r>
        </a:p>
      </xdr:txBody>
    </xdr:sp>
    <xdr:clientData/>
  </xdr:oneCellAnchor>
  <xdr:twoCellAnchor>
    <xdr:from>
      <xdr:col>0</xdr:col>
      <xdr:colOff>1905000</xdr:colOff>
      <xdr:row>65</xdr:row>
      <xdr:rowOff>38100</xdr:rowOff>
    </xdr:from>
    <xdr:to>
      <xdr:col>0</xdr:col>
      <xdr:colOff>1905000</xdr:colOff>
      <xdr:row>75</xdr:row>
      <xdr:rowOff>127000</xdr:rowOff>
    </xdr:to>
    <xdr:sp macro="" textlink="">
      <xdr:nvSpPr>
        <xdr:cNvPr id="128156" name="Line 97">
          <a:extLst>
            <a:ext uri="{FF2B5EF4-FFF2-40B4-BE49-F238E27FC236}">
              <a16:creationId xmlns:a16="http://schemas.microsoft.com/office/drawing/2014/main" id="{2452C80C-702D-C245-91BE-79B3304A1138}"/>
            </a:ext>
          </a:extLst>
        </xdr:cNvPr>
        <xdr:cNvSpPr>
          <a:spLocks noChangeShapeType="1"/>
        </xdr:cNvSpPr>
      </xdr:nvSpPr>
      <xdr:spPr bwMode="auto">
        <a:xfrm flipH="1">
          <a:off x="1905000" y="11061700"/>
          <a:ext cx="0" cy="1854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1905000</xdr:colOff>
      <xdr:row>65</xdr:row>
      <xdr:rowOff>25400</xdr:rowOff>
    </xdr:from>
    <xdr:to>
      <xdr:col>0</xdr:col>
      <xdr:colOff>1905000</xdr:colOff>
      <xdr:row>70</xdr:row>
      <xdr:rowOff>12700</xdr:rowOff>
    </xdr:to>
    <xdr:sp macro="" textlink="">
      <xdr:nvSpPr>
        <xdr:cNvPr id="128157" name="Line 98">
          <a:extLst>
            <a:ext uri="{FF2B5EF4-FFF2-40B4-BE49-F238E27FC236}">
              <a16:creationId xmlns:a16="http://schemas.microsoft.com/office/drawing/2014/main" id="{A1DA801A-B992-8740-B846-ED1774A2D5A0}"/>
            </a:ext>
          </a:extLst>
        </xdr:cNvPr>
        <xdr:cNvSpPr>
          <a:spLocks noChangeShapeType="1"/>
        </xdr:cNvSpPr>
      </xdr:nvSpPr>
      <xdr:spPr bwMode="auto">
        <a:xfrm>
          <a:off x="1905000" y="11049000"/>
          <a:ext cx="0" cy="8763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1117600</xdr:colOff>
      <xdr:row>95</xdr:row>
      <xdr:rowOff>76200</xdr:rowOff>
    </xdr:from>
    <xdr:to>
      <xdr:col>5</xdr:col>
      <xdr:colOff>558800</xdr:colOff>
      <xdr:row>95</xdr:row>
      <xdr:rowOff>76200</xdr:rowOff>
    </xdr:to>
    <xdr:sp macro="" textlink="">
      <xdr:nvSpPr>
        <xdr:cNvPr id="128158" name="Line 101">
          <a:extLst>
            <a:ext uri="{FF2B5EF4-FFF2-40B4-BE49-F238E27FC236}">
              <a16:creationId xmlns:a16="http://schemas.microsoft.com/office/drawing/2014/main" id="{31B9DDCB-AF2B-1844-BE4E-C38618434D3F}"/>
            </a:ext>
          </a:extLst>
        </xdr:cNvPr>
        <xdr:cNvSpPr>
          <a:spLocks noChangeShapeType="1"/>
        </xdr:cNvSpPr>
      </xdr:nvSpPr>
      <xdr:spPr bwMode="auto">
        <a:xfrm>
          <a:off x="3276600" y="16357600"/>
          <a:ext cx="3454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215900</xdr:colOff>
      <xdr:row>95</xdr:row>
      <xdr:rowOff>101600</xdr:rowOff>
    </xdr:from>
    <xdr:to>
      <xdr:col>11</xdr:col>
      <xdr:colOff>647700</xdr:colOff>
      <xdr:row>95</xdr:row>
      <xdr:rowOff>101600</xdr:rowOff>
    </xdr:to>
    <xdr:sp macro="" textlink="">
      <xdr:nvSpPr>
        <xdr:cNvPr id="128159" name="Line 102">
          <a:extLst>
            <a:ext uri="{FF2B5EF4-FFF2-40B4-BE49-F238E27FC236}">
              <a16:creationId xmlns:a16="http://schemas.microsoft.com/office/drawing/2014/main" id="{0456DE2C-0BFE-FF4B-BA46-27942CE1148B}"/>
            </a:ext>
          </a:extLst>
        </xdr:cNvPr>
        <xdr:cNvSpPr>
          <a:spLocks noChangeShapeType="1"/>
        </xdr:cNvSpPr>
      </xdr:nvSpPr>
      <xdr:spPr bwMode="auto">
        <a:xfrm>
          <a:off x="7886700" y="16383000"/>
          <a:ext cx="3327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292100</xdr:colOff>
      <xdr:row>103</xdr:row>
      <xdr:rowOff>88900</xdr:rowOff>
    </xdr:from>
    <xdr:to>
      <xdr:col>2</xdr:col>
      <xdr:colOff>901700</xdr:colOff>
      <xdr:row>103</xdr:row>
      <xdr:rowOff>88900</xdr:rowOff>
    </xdr:to>
    <xdr:sp macro="" textlink="">
      <xdr:nvSpPr>
        <xdr:cNvPr id="128160" name="Line 108">
          <a:extLst>
            <a:ext uri="{FF2B5EF4-FFF2-40B4-BE49-F238E27FC236}">
              <a16:creationId xmlns:a16="http://schemas.microsoft.com/office/drawing/2014/main" id="{0DA586C5-025C-9643-85B7-CCB22CB502B8}"/>
            </a:ext>
          </a:extLst>
        </xdr:cNvPr>
        <xdr:cNvSpPr>
          <a:spLocks noChangeShapeType="1"/>
        </xdr:cNvSpPr>
      </xdr:nvSpPr>
      <xdr:spPr bwMode="auto">
        <a:xfrm flipH="1">
          <a:off x="3924300" y="17792700"/>
          <a:ext cx="609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711200</xdr:colOff>
      <xdr:row>135</xdr:row>
      <xdr:rowOff>38100</xdr:rowOff>
    </xdr:from>
    <xdr:to>
      <xdr:col>4</xdr:col>
      <xdr:colOff>279400</xdr:colOff>
      <xdr:row>150</xdr:row>
      <xdr:rowOff>38100</xdr:rowOff>
    </xdr:to>
    <xdr:sp macro="" textlink="">
      <xdr:nvSpPr>
        <xdr:cNvPr id="128161" name="Oval 114">
          <a:extLst>
            <a:ext uri="{FF2B5EF4-FFF2-40B4-BE49-F238E27FC236}">
              <a16:creationId xmlns:a16="http://schemas.microsoft.com/office/drawing/2014/main" id="{D64D6D90-D1DC-0F4F-ABFC-474414C33455}"/>
            </a:ext>
          </a:extLst>
        </xdr:cNvPr>
        <xdr:cNvSpPr>
          <a:spLocks noChangeArrowheads="1"/>
        </xdr:cNvSpPr>
      </xdr:nvSpPr>
      <xdr:spPr bwMode="auto">
        <a:xfrm>
          <a:off x="2870200" y="23164800"/>
          <a:ext cx="2870200" cy="2476500"/>
        </a:xfrm>
        <a:prstGeom prst="ellipse">
          <a:avLst/>
        </a:prstGeom>
        <a:solidFill>
          <a:srgbClr val="C0C0C0"/>
        </a:solidFill>
        <a:ln w="9525">
          <a:solidFill>
            <a:srgbClr val="000000"/>
          </a:solidFill>
          <a:round/>
          <a:headEnd/>
          <a:tailEnd/>
        </a:ln>
      </xdr:spPr>
    </xdr:sp>
    <xdr:clientData/>
  </xdr:twoCellAnchor>
  <xdr:twoCellAnchor>
    <xdr:from>
      <xdr:col>2</xdr:col>
      <xdr:colOff>635000</xdr:colOff>
      <xdr:row>142</xdr:row>
      <xdr:rowOff>76200</xdr:rowOff>
    </xdr:from>
    <xdr:to>
      <xdr:col>2</xdr:col>
      <xdr:colOff>711200</xdr:colOff>
      <xdr:row>143</xdr:row>
      <xdr:rowOff>12700</xdr:rowOff>
    </xdr:to>
    <xdr:sp macro="" textlink="">
      <xdr:nvSpPr>
        <xdr:cNvPr id="128162" name="Oval 118">
          <a:extLst>
            <a:ext uri="{FF2B5EF4-FFF2-40B4-BE49-F238E27FC236}">
              <a16:creationId xmlns:a16="http://schemas.microsoft.com/office/drawing/2014/main" id="{71651368-E36D-F946-BD54-77228DB06557}"/>
            </a:ext>
          </a:extLst>
        </xdr:cNvPr>
        <xdr:cNvSpPr>
          <a:spLocks noChangeArrowheads="1"/>
        </xdr:cNvSpPr>
      </xdr:nvSpPr>
      <xdr:spPr bwMode="auto">
        <a:xfrm>
          <a:off x="4267200" y="24358600"/>
          <a:ext cx="76200" cy="101600"/>
        </a:xfrm>
        <a:prstGeom prst="ellipse">
          <a:avLst/>
        </a:prstGeom>
        <a:solidFill>
          <a:srgbClr val="FFCC00"/>
        </a:solidFill>
        <a:ln w="9525">
          <a:solidFill>
            <a:srgbClr val="000000"/>
          </a:solidFill>
          <a:round/>
          <a:headEnd/>
          <a:tailEnd/>
        </a:ln>
      </xdr:spPr>
    </xdr:sp>
    <xdr:clientData/>
  </xdr:twoCellAnchor>
  <xdr:twoCellAnchor>
    <xdr:from>
      <xdr:col>3</xdr:col>
      <xdr:colOff>749300</xdr:colOff>
      <xdr:row>137</xdr:row>
      <xdr:rowOff>101600</xdr:rowOff>
    </xdr:from>
    <xdr:to>
      <xdr:col>3</xdr:col>
      <xdr:colOff>838200</xdr:colOff>
      <xdr:row>138</xdr:row>
      <xdr:rowOff>25400</xdr:rowOff>
    </xdr:to>
    <xdr:sp macro="" textlink="">
      <xdr:nvSpPr>
        <xdr:cNvPr id="128163" name="Oval 119">
          <a:extLst>
            <a:ext uri="{FF2B5EF4-FFF2-40B4-BE49-F238E27FC236}">
              <a16:creationId xmlns:a16="http://schemas.microsoft.com/office/drawing/2014/main" id="{AD6A8AF9-05A8-A04C-A1D1-6DC471F19F26}"/>
            </a:ext>
          </a:extLst>
        </xdr:cNvPr>
        <xdr:cNvSpPr>
          <a:spLocks noChangeArrowheads="1"/>
        </xdr:cNvSpPr>
      </xdr:nvSpPr>
      <xdr:spPr bwMode="auto">
        <a:xfrm>
          <a:off x="5346700" y="23558500"/>
          <a:ext cx="88900" cy="88900"/>
        </a:xfrm>
        <a:prstGeom prst="ellipse">
          <a:avLst/>
        </a:prstGeom>
        <a:solidFill>
          <a:srgbClr val="0000FF"/>
        </a:solidFill>
        <a:ln w="9525">
          <a:solidFill>
            <a:srgbClr val="000000"/>
          </a:solidFill>
          <a:round/>
          <a:headEnd/>
          <a:tailEnd/>
        </a:ln>
      </xdr:spPr>
    </xdr:sp>
    <xdr:clientData/>
  </xdr:twoCellAnchor>
  <xdr:twoCellAnchor>
    <xdr:from>
      <xdr:col>1</xdr:col>
      <xdr:colOff>698500</xdr:colOff>
      <xdr:row>132</xdr:row>
      <xdr:rowOff>101600</xdr:rowOff>
    </xdr:from>
    <xdr:to>
      <xdr:col>7</xdr:col>
      <xdr:colOff>660400</xdr:colOff>
      <xdr:row>153</xdr:row>
      <xdr:rowOff>12700</xdr:rowOff>
    </xdr:to>
    <xdr:sp macro="" textlink="">
      <xdr:nvSpPr>
        <xdr:cNvPr id="128164" name="Oval 120">
          <a:extLst>
            <a:ext uri="{FF2B5EF4-FFF2-40B4-BE49-F238E27FC236}">
              <a16:creationId xmlns:a16="http://schemas.microsoft.com/office/drawing/2014/main" id="{FE4AC264-858C-DE47-95C2-5AC14A237BBA}"/>
            </a:ext>
          </a:extLst>
        </xdr:cNvPr>
        <xdr:cNvSpPr>
          <a:spLocks noChangeArrowheads="1"/>
        </xdr:cNvSpPr>
      </xdr:nvSpPr>
      <xdr:spPr bwMode="auto">
        <a:xfrm>
          <a:off x="2857500" y="22733000"/>
          <a:ext cx="5473700" cy="33782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469900</xdr:colOff>
      <xdr:row>150</xdr:row>
      <xdr:rowOff>76200</xdr:rowOff>
    </xdr:from>
    <xdr:to>
      <xdr:col>6</xdr:col>
      <xdr:colOff>558800</xdr:colOff>
      <xdr:row>150</xdr:row>
      <xdr:rowOff>152400</xdr:rowOff>
    </xdr:to>
    <xdr:sp macro="" textlink="">
      <xdr:nvSpPr>
        <xdr:cNvPr id="128165" name="Oval 125">
          <a:extLst>
            <a:ext uri="{FF2B5EF4-FFF2-40B4-BE49-F238E27FC236}">
              <a16:creationId xmlns:a16="http://schemas.microsoft.com/office/drawing/2014/main" id="{1C0CE82F-F9A5-014E-AC35-B3718F118A9B}"/>
            </a:ext>
          </a:extLst>
        </xdr:cNvPr>
        <xdr:cNvSpPr>
          <a:spLocks noChangeArrowheads="1"/>
        </xdr:cNvSpPr>
      </xdr:nvSpPr>
      <xdr:spPr bwMode="auto">
        <a:xfrm>
          <a:off x="7315200" y="25679400"/>
          <a:ext cx="88900" cy="76200"/>
        </a:xfrm>
        <a:prstGeom prst="ellipse">
          <a:avLst/>
        </a:prstGeom>
        <a:solidFill>
          <a:srgbClr val="FFFFFF"/>
        </a:solidFill>
        <a:ln w="9525">
          <a:solidFill>
            <a:srgbClr val="000000"/>
          </a:solidFill>
          <a:round/>
          <a:headEnd/>
          <a:tailEnd/>
        </a:ln>
      </xdr:spPr>
    </xdr:sp>
    <xdr:clientData/>
  </xdr:twoCellAnchor>
  <xdr:twoCellAnchor>
    <xdr:from>
      <xdr:col>2</xdr:col>
      <xdr:colOff>673100</xdr:colOff>
      <xdr:row>137</xdr:row>
      <xdr:rowOff>139700</xdr:rowOff>
    </xdr:from>
    <xdr:to>
      <xdr:col>3</xdr:col>
      <xdr:colOff>800100</xdr:colOff>
      <xdr:row>142</xdr:row>
      <xdr:rowOff>127000</xdr:rowOff>
    </xdr:to>
    <xdr:sp macro="" textlink="">
      <xdr:nvSpPr>
        <xdr:cNvPr id="128166" name="Line 126">
          <a:extLst>
            <a:ext uri="{FF2B5EF4-FFF2-40B4-BE49-F238E27FC236}">
              <a16:creationId xmlns:a16="http://schemas.microsoft.com/office/drawing/2014/main" id="{1785719B-0876-8548-92D4-8A07D21D7922}"/>
            </a:ext>
          </a:extLst>
        </xdr:cNvPr>
        <xdr:cNvSpPr>
          <a:spLocks noChangeShapeType="1"/>
        </xdr:cNvSpPr>
      </xdr:nvSpPr>
      <xdr:spPr bwMode="auto">
        <a:xfrm flipV="1">
          <a:off x="4305300" y="23596600"/>
          <a:ext cx="1092200" cy="812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137</xdr:row>
      <xdr:rowOff>139700</xdr:rowOff>
    </xdr:from>
    <xdr:to>
      <xdr:col>6</xdr:col>
      <xdr:colOff>508000</xdr:colOff>
      <xdr:row>150</xdr:row>
      <xdr:rowOff>114300</xdr:rowOff>
    </xdr:to>
    <xdr:sp macro="" textlink="">
      <xdr:nvSpPr>
        <xdr:cNvPr id="128167" name="Line 127">
          <a:extLst>
            <a:ext uri="{FF2B5EF4-FFF2-40B4-BE49-F238E27FC236}">
              <a16:creationId xmlns:a16="http://schemas.microsoft.com/office/drawing/2014/main" id="{9DBA0E59-A1C7-1A4A-ADCD-EC89E49CCDE1}"/>
            </a:ext>
          </a:extLst>
        </xdr:cNvPr>
        <xdr:cNvSpPr>
          <a:spLocks noChangeShapeType="1"/>
        </xdr:cNvSpPr>
      </xdr:nvSpPr>
      <xdr:spPr bwMode="auto">
        <a:xfrm>
          <a:off x="5397500" y="23596600"/>
          <a:ext cx="1955800" cy="21209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317500</xdr:colOff>
      <xdr:row>151</xdr:row>
      <xdr:rowOff>12700</xdr:rowOff>
    </xdr:from>
    <xdr:to>
      <xdr:col>7</xdr:col>
      <xdr:colOff>406400</xdr:colOff>
      <xdr:row>151</xdr:row>
      <xdr:rowOff>88900</xdr:rowOff>
    </xdr:to>
    <xdr:sp macro="" textlink="">
      <xdr:nvSpPr>
        <xdr:cNvPr id="128168" name="Oval 128">
          <a:extLst>
            <a:ext uri="{FF2B5EF4-FFF2-40B4-BE49-F238E27FC236}">
              <a16:creationId xmlns:a16="http://schemas.microsoft.com/office/drawing/2014/main" id="{8D69B430-0899-0949-A122-C8C91B1CCF37}"/>
            </a:ext>
          </a:extLst>
        </xdr:cNvPr>
        <xdr:cNvSpPr>
          <a:spLocks noChangeArrowheads="1"/>
        </xdr:cNvSpPr>
      </xdr:nvSpPr>
      <xdr:spPr bwMode="auto">
        <a:xfrm>
          <a:off x="7988300" y="25781000"/>
          <a:ext cx="88900" cy="76200"/>
        </a:xfrm>
        <a:prstGeom prst="ellipse">
          <a:avLst/>
        </a:prstGeom>
        <a:solidFill>
          <a:srgbClr val="FF6600"/>
        </a:solidFill>
        <a:ln w="9525">
          <a:solidFill>
            <a:srgbClr val="000000"/>
          </a:solidFill>
          <a:round/>
          <a:headEnd/>
          <a:tailEnd/>
        </a:ln>
      </xdr:spPr>
    </xdr:sp>
    <xdr:clientData/>
  </xdr:twoCellAnchor>
  <xdr:twoCellAnchor>
    <xdr:from>
      <xdr:col>7</xdr:col>
      <xdr:colOff>152400</xdr:colOff>
      <xdr:row>131</xdr:row>
      <xdr:rowOff>139700</xdr:rowOff>
    </xdr:from>
    <xdr:to>
      <xdr:col>7</xdr:col>
      <xdr:colOff>635000</xdr:colOff>
      <xdr:row>142</xdr:row>
      <xdr:rowOff>101600</xdr:rowOff>
    </xdr:to>
    <xdr:sp macro="" textlink="">
      <xdr:nvSpPr>
        <xdr:cNvPr id="128169" name="Freeform 131">
          <a:extLst>
            <a:ext uri="{FF2B5EF4-FFF2-40B4-BE49-F238E27FC236}">
              <a16:creationId xmlns:a16="http://schemas.microsoft.com/office/drawing/2014/main" id="{85A4DF02-2EC3-8047-A2EE-5CE9FD1C2B4F}"/>
            </a:ext>
          </a:extLst>
        </xdr:cNvPr>
        <xdr:cNvSpPr>
          <a:spLocks/>
        </xdr:cNvSpPr>
      </xdr:nvSpPr>
      <xdr:spPr bwMode="auto">
        <a:xfrm rot="-151013">
          <a:off x="7823200" y="22606000"/>
          <a:ext cx="482600" cy="1778000"/>
        </a:xfrm>
        <a:custGeom>
          <a:avLst/>
          <a:gdLst>
            <a:gd name="T0" fmla="*/ 0 w 46"/>
            <a:gd name="T1" fmla="*/ 0 h 182"/>
            <a:gd name="T2" fmla="*/ 2147483647 w 46"/>
            <a:gd name="T3" fmla="*/ 2147483647 h 182"/>
            <a:gd name="T4" fmla="*/ 2147483647 w 46"/>
            <a:gd name="T5" fmla="*/ 2147483647 h 182"/>
            <a:gd name="T6" fmla="*/ 2147483647 w 46"/>
            <a:gd name="T7" fmla="*/ 2147483647 h 182"/>
            <a:gd name="T8" fmla="*/ 2147483647 w 46"/>
            <a:gd name="T9" fmla="*/ 2147483647 h 182"/>
            <a:gd name="T10" fmla="*/ 2147483647 w 46"/>
            <a:gd name="T11" fmla="*/ 2147483647 h 182"/>
            <a:gd name="T12" fmla="*/ 2147483647 w 46"/>
            <a:gd name="T13" fmla="*/ 2147483647 h 182"/>
            <a:gd name="T14" fmla="*/ 2147483647 w 46"/>
            <a:gd name="T15" fmla="*/ 2147483647 h 182"/>
            <a:gd name="T16" fmla="*/ 0 60000 65536"/>
            <a:gd name="T17" fmla="*/ 0 60000 65536"/>
            <a:gd name="T18" fmla="*/ 0 60000 65536"/>
            <a:gd name="T19" fmla="*/ 0 60000 65536"/>
            <a:gd name="T20" fmla="*/ 0 60000 65536"/>
            <a:gd name="T21" fmla="*/ 0 60000 65536"/>
            <a:gd name="T22" fmla="*/ 0 60000 65536"/>
            <a:gd name="T23" fmla="*/ 0 60000 65536"/>
            <a:gd name="T24" fmla="*/ 0 w 46"/>
            <a:gd name="T25" fmla="*/ 0 h 182"/>
            <a:gd name="T26" fmla="*/ 46 w 46"/>
            <a:gd name="T27" fmla="*/ 182 h 18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6" h="182">
              <a:moveTo>
                <a:pt x="0" y="0"/>
              </a:moveTo>
              <a:cubicBezTo>
                <a:pt x="5" y="8"/>
                <a:pt x="10" y="17"/>
                <a:pt x="13" y="24"/>
              </a:cubicBezTo>
              <a:cubicBezTo>
                <a:pt x="16" y="31"/>
                <a:pt x="18" y="36"/>
                <a:pt x="21" y="44"/>
              </a:cubicBezTo>
              <a:cubicBezTo>
                <a:pt x="24" y="52"/>
                <a:pt x="29" y="62"/>
                <a:pt x="32" y="72"/>
              </a:cubicBezTo>
              <a:cubicBezTo>
                <a:pt x="35" y="82"/>
                <a:pt x="38" y="94"/>
                <a:pt x="40" y="106"/>
              </a:cubicBezTo>
              <a:cubicBezTo>
                <a:pt x="42" y="118"/>
                <a:pt x="44" y="132"/>
                <a:pt x="45" y="144"/>
              </a:cubicBezTo>
              <a:cubicBezTo>
                <a:pt x="46" y="156"/>
                <a:pt x="45" y="178"/>
                <a:pt x="45" y="180"/>
              </a:cubicBezTo>
              <a:cubicBezTo>
                <a:pt x="45" y="182"/>
                <a:pt x="46" y="160"/>
                <a:pt x="46" y="156"/>
              </a:cubicBezTo>
            </a:path>
          </a:pathLst>
        </a:cu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190500</xdr:colOff>
      <xdr:row>142</xdr:row>
      <xdr:rowOff>76200</xdr:rowOff>
    </xdr:from>
    <xdr:to>
      <xdr:col>8</xdr:col>
      <xdr:colOff>0</xdr:colOff>
      <xdr:row>153</xdr:row>
      <xdr:rowOff>25400</xdr:rowOff>
    </xdr:to>
    <xdr:sp macro="" textlink="">
      <xdr:nvSpPr>
        <xdr:cNvPr id="128170" name="Freeform 132">
          <a:extLst>
            <a:ext uri="{FF2B5EF4-FFF2-40B4-BE49-F238E27FC236}">
              <a16:creationId xmlns:a16="http://schemas.microsoft.com/office/drawing/2014/main" id="{53CBBA00-3C88-A746-A442-506CD54C4E45}"/>
            </a:ext>
          </a:extLst>
        </xdr:cNvPr>
        <xdr:cNvSpPr>
          <a:spLocks/>
        </xdr:cNvSpPr>
      </xdr:nvSpPr>
      <xdr:spPr bwMode="auto">
        <a:xfrm flipV="1">
          <a:off x="7861300" y="24358600"/>
          <a:ext cx="482600" cy="1765300"/>
        </a:xfrm>
        <a:custGeom>
          <a:avLst/>
          <a:gdLst>
            <a:gd name="T0" fmla="*/ 0 w 46"/>
            <a:gd name="T1" fmla="*/ 0 h 182"/>
            <a:gd name="T2" fmla="*/ 2147483647 w 46"/>
            <a:gd name="T3" fmla="*/ 2147483647 h 182"/>
            <a:gd name="T4" fmla="*/ 2147483647 w 46"/>
            <a:gd name="T5" fmla="*/ 2147483647 h 182"/>
            <a:gd name="T6" fmla="*/ 2147483647 w 46"/>
            <a:gd name="T7" fmla="*/ 2147483647 h 182"/>
            <a:gd name="T8" fmla="*/ 2147483647 w 46"/>
            <a:gd name="T9" fmla="*/ 2147483647 h 182"/>
            <a:gd name="T10" fmla="*/ 2147483647 w 46"/>
            <a:gd name="T11" fmla="*/ 2147483647 h 182"/>
            <a:gd name="T12" fmla="*/ 2147483647 w 46"/>
            <a:gd name="T13" fmla="*/ 2147483647 h 182"/>
            <a:gd name="T14" fmla="*/ 2147483647 w 46"/>
            <a:gd name="T15" fmla="*/ 2147483647 h 182"/>
            <a:gd name="T16" fmla="*/ 0 60000 65536"/>
            <a:gd name="T17" fmla="*/ 0 60000 65536"/>
            <a:gd name="T18" fmla="*/ 0 60000 65536"/>
            <a:gd name="T19" fmla="*/ 0 60000 65536"/>
            <a:gd name="T20" fmla="*/ 0 60000 65536"/>
            <a:gd name="T21" fmla="*/ 0 60000 65536"/>
            <a:gd name="T22" fmla="*/ 0 60000 65536"/>
            <a:gd name="T23" fmla="*/ 0 60000 65536"/>
            <a:gd name="T24" fmla="*/ 0 w 46"/>
            <a:gd name="T25" fmla="*/ 0 h 182"/>
            <a:gd name="T26" fmla="*/ 46 w 46"/>
            <a:gd name="T27" fmla="*/ 182 h 18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6" h="182">
              <a:moveTo>
                <a:pt x="0" y="0"/>
              </a:moveTo>
              <a:cubicBezTo>
                <a:pt x="5" y="8"/>
                <a:pt x="10" y="17"/>
                <a:pt x="13" y="24"/>
              </a:cubicBezTo>
              <a:cubicBezTo>
                <a:pt x="16" y="31"/>
                <a:pt x="18" y="36"/>
                <a:pt x="21" y="44"/>
              </a:cubicBezTo>
              <a:cubicBezTo>
                <a:pt x="24" y="52"/>
                <a:pt x="29" y="62"/>
                <a:pt x="32" y="72"/>
              </a:cubicBezTo>
              <a:cubicBezTo>
                <a:pt x="35" y="82"/>
                <a:pt x="38" y="94"/>
                <a:pt x="40" y="106"/>
              </a:cubicBezTo>
              <a:cubicBezTo>
                <a:pt x="42" y="118"/>
                <a:pt x="44" y="132"/>
                <a:pt x="45" y="144"/>
              </a:cubicBezTo>
              <a:cubicBezTo>
                <a:pt x="46" y="156"/>
                <a:pt x="45" y="178"/>
                <a:pt x="45" y="180"/>
              </a:cubicBezTo>
              <a:cubicBezTo>
                <a:pt x="45" y="182"/>
                <a:pt x="46" y="160"/>
                <a:pt x="46" y="156"/>
              </a:cubicBezTo>
            </a:path>
          </a:pathLst>
        </a:cu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7</xdr:col>
      <xdr:colOff>476250</xdr:colOff>
      <xdr:row>150</xdr:row>
      <xdr:rowOff>123825</xdr:rowOff>
    </xdr:from>
    <xdr:ext cx="923715" cy="170560"/>
    <xdr:sp macro="" textlink="">
      <xdr:nvSpPr>
        <xdr:cNvPr id="1157" name="Text Box 133">
          <a:extLst>
            <a:ext uri="{FF2B5EF4-FFF2-40B4-BE49-F238E27FC236}">
              <a16:creationId xmlns:a16="http://schemas.microsoft.com/office/drawing/2014/main" id="{FEE65EC7-2B96-4047-A5A2-084CE2CBAA50}"/>
            </a:ext>
          </a:extLst>
        </xdr:cNvPr>
        <xdr:cNvSpPr txBox="1">
          <a:spLocks noChangeArrowheads="1"/>
        </xdr:cNvSpPr>
      </xdr:nvSpPr>
      <xdr:spPr bwMode="auto">
        <a:xfrm>
          <a:off x="8147050" y="25727025"/>
          <a:ext cx="92371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Intercept Object</a:t>
          </a:r>
        </a:p>
      </xdr:txBody>
    </xdr:sp>
    <xdr:clientData/>
  </xdr:oneCellAnchor>
  <xdr:oneCellAnchor>
    <xdr:from>
      <xdr:col>3</xdr:col>
      <xdr:colOff>844550</xdr:colOff>
      <xdr:row>150</xdr:row>
      <xdr:rowOff>9525</xdr:rowOff>
    </xdr:from>
    <xdr:ext cx="1586461" cy="170560"/>
    <xdr:sp macro="" textlink="">
      <xdr:nvSpPr>
        <xdr:cNvPr id="1158" name="Text Box 134">
          <a:extLst>
            <a:ext uri="{FF2B5EF4-FFF2-40B4-BE49-F238E27FC236}">
              <a16:creationId xmlns:a16="http://schemas.microsoft.com/office/drawing/2014/main" id="{D1525A03-E516-F947-A27B-60CFF1F2ACBA}"/>
            </a:ext>
          </a:extLst>
        </xdr:cNvPr>
        <xdr:cNvSpPr txBox="1">
          <a:spLocks noChangeArrowheads="1"/>
        </xdr:cNvSpPr>
      </xdr:nvSpPr>
      <xdr:spPr bwMode="auto">
        <a:xfrm>
          <a:off x="5441950" y="25612725"/>
          <a:ext cx="1586461"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Spacecraft Current Position</a:t>
          </a:r>
        </a:p>
      </xdr:txBody>
    </xdr:sp>
    <xdr:clientData/>
  </xdr:oneCellAnchor>
  <xdr:oneCellAnchor>
    <xdr:from>
      <xdr:col>2</xdr:col>
      <xdr:colOff>488950</xdr:colOff>
      <xdr:row>143</xdr:row>
      <xdr:rowOff>66675</xdr:rowOff>
    </xdr:from>
    <xdr:ext cx="285544" cy="182743"/>
    <xdr:sp macro="" textlink="">
      <xdr:nvSpPr>
        <xdr:cNvPr id="1160" name="Text Box 136">
          <a:extLst>
            <a:ext uri="{FF2B5EF4-FFF2-40B4-BE49-F238E27FC236}">
              <a16:creationId xmlns:a16="http://schemas.microsoft.com/office/drawing/2014/main" id="{6315F343-D5D4-8349-8297-C3AE354427C0}"/>
            </a:ext>
          </a:extLst>
        </xdr:cNvPr>
        <xdr:cNvSpPr txBox="1">
          <a:spLocks noChangeArrowheads="1"/>
        </xdr:cNvSpPr>
      </xdr:nvSpPr>
      <xdr:spPr bwMode="auto">
        <a:xfrm>
          <a:off x="3609975" y="23974425"/>
          <a:ext cx="246606"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Sun</a:t>
          </a:r>
        </a:p>
      </xdr:txBody>
    </xdr:sp>
    <xdr:clientData/>
  </xdr:oneCellAnchor>
  <xdr:oneCellAnchor>
    <xdr:from>
      <xdr:col>4</xdr:col>
      <xdr:colOff>19050</xdr:colOff>
      <xdr:row>137</xdr:row>
      <xdr:rowOff>9525</xdr:rowOff>
    </xdr:from>
    <xdr:ext cx="1279967" cy="170560"/>
    <xdr:sp macro="" textlink="">
      <xdr:nvSpPr>
        <xdr:cNvPr id="1161" name="Text Box 137">
          <a:extLst>
            <a:ext uri="{FF2B5EF4-FFF2-40B4-BE49-F238E27FC236}">
              <a16:creationId xmlns:a16="http://schemas.microsoft.com/office/drawing/2014/main" id="{57AEB097-B685-E048-9ED1-55492CF1E67C}"/>
            </a:ext>
          </a:extLst>
        </xdr:cNvPr>
        <xdr:cNvSpPr txBox="1">
          <a:spLocks noChangeArrowheads="1"/>
        </xdr:cNvSpPr>
      </xdr:nvSpPr>
      <xdr:spPr bwMode="auto">
        <a:xfrm>
          <a:off x="5480050" y="23466425"/>
          <a:ext cx="127996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Earth Current Position</a:t>
          </a:r>
        </a:p>
      </xdr:txBody>
    </xdr:sp>
    <xdr:clientData/>
  </xdr:oneCellAnchor>
  <xdr:oneCellAnchor>
    <xdr:from>
      <xdr:col>7</xdr:col>
      <xdr:colOff>476250</xdr:colOff>
      <xdr:row>151</xdr:row>
      <xdr:rowOff>152400</xdr:rowOff>
    </xdr:from>
    <xdr:ext cx="937822" cy="170560"/>
    <xdr:sp macro="" textlink="">
      <xdr:nvSpPr>
        <xdr:cNvPr id="1162" name="Text Box 138">
          <a:extLst>
            <a:ext uri="{FF2B5EF4-FFF2-40B4-BE49-F238E27FC236}">
              <a16:creationId xmlns:a16="http://schemas.microsoft.com/office/drawing/2014/main" id="{0780E428-702C-FE4F-A1DA-532FDB6D825C}"/>
            </a:ext>
          </a:extLst>
        </xdr:cNvPr>
        <xdr:cNvSpPr txBox="1">
          <a:spLocks noChangeArrowheads="1"/>
        </xdr:cNvSpPr>
      </xdr:nvSpPr>
      <xdr:spPr bwMode="auto">
        <a:xfrm>
          <a:off x="8147050" y="25920700"/>
          <a:ext cx="937822"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Current Position</a:t>
          </a:r>
        </a:p>
      </xdr:txBody>
    </xdr:sp>
    <xdr:clientData/>
  </xdr:oneCellAnchor>
  <xdr:oneCellAnchor>
    <xdr:from>
      <xdr:col>5</xdr:col>
      <xdr:colOff>117475</xdr:colOff>
      <xdr:row>142</xdr:row>
      <xdr:rowOff>133350</xdr:rowOff>
    </xdr:from>
    <xdr:ext cx="859467" cy="170560"/>
    <xdr:sp macro="" textlink="">
      <xdr:nvSpPr>
        <xdr:cNvPr id="1163" name="Text Box 139">
          <a:extLst>
            <a:ext uri="{FF2B5EF4-FFF2-40B4-BE49-F238E27FC236}">
              <a16:creationId xmlns:a16="http://schemas.microsoft.com/office/drawing/2014/main" id="{A1EBB63C-ED92-1643-AA80-134AC4F121A9}"/>
            </a:ext>
          </a:extLst>
        </xdr:cNvPr>
        <xdr:cNvSpPr txBox="1">
          <a:spLocks noChangeArrowheads="1"/>
        </xdr:cNvSpPr>
      </xdr:nvSpPr>
      <xdr:spPr bwMode="auto">
        <a:xfrm>
          <a:off x="6289675" y="24415750"/>
          <a:ext cx="85946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Current Range</a:t>
          </a:r>
        </a:p>
      </xdr:txBody>
    </xdr:sp>
    <xdr:clientData/>
  </xdr:oneCellAnchor>
  <xdr:oneCellAnchor>
    <xdr:from>
      <xdr:col>2</xdr:col>
      <xdr:colOff>577850</xdr:colOff>
      <xdr:row>139</xdr:row>
      <xdr:rowOff>104775</xdr:rowOff>
    </xdr:from>
    <xdr:ext cx="481800" cy="170560"/>
    <xdr:sp macro="" textlink="">
      <xdr:nvSpPr>
        <xdr:cNvPr id="1164" name="Text Box 140">
          <a:extLst>
            <a:ext uri="{FF2B5EF4-FFF2-40B4-BE49-F238E27FC236}">
              <a16:creationId xmlns:a16="http://schemas.microsoft.com/office/drawing/2014/main" id="{599B88A8-D877-3F46-A1E8-D7AD65D47BA8}"/>
            </a:ext>
          </a:extLst>
        </xdr:cNvPr>
        <xdr:cNvSpPr txBox="1">
          <a:spLocks noChangeArrowheads="1"/>
        </xdr:cNvSpPr>
      </xdr:nvSpPr>
      <xdr:spPr bwMode="auto">
        <a:xfrm>
          <a:off x="4210050" y="23891875"/>
          <a:ext cx="481800"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1.00 AU</a:t>
          </a:r>
        </a:p>
      </xdr:txBody>
    </xdr:sp>
    <xdr:clientData/>
  </xdr:oneCellAnchor>
  <xdr:oneCellAnchor>
    <xdr:from>
      <xdr:col>2</xdr:col>
      <xdr:colOff>825500</xdr:colOff>
      <xdr:row>156</xdr:row>
      <xdr:rowOff>19050</xdr:rowOff>
    </xdr:from>
    <xdr:ext cx="2462855" cy="170560"/>
    <xdr:sp macro="" textlink="">
      <xdr:nvSpPr>
        <xdr:cNvPr id="1165" name="Text Box 141">
          <a:extLst>
            <a:ext uri="{FF2B5EF4-FFF2-40B4-BE49-F238E27FC236}">
              <a16:creationId xmlns:a16="http://schemas.microsoft.com/office/drawing/2014/main" id="{C2953535-FF47-6D4C-A6A3-A340B4795348}"/>
            </a:ext>
          </a:extLst>
        </xdr:cNvPr>
        <xdr:cNvSpPr txBox="1">
          <a:spLocks noChangeArrowheads="1"/>
        </xdr:cNvSpPr>
      </xdr:nvSpPr>
      <xdr:spPr bwMode="auto">
        <a:xfrm>
          <a:off x="4457700" y="26612850"/>
          <a:ext cx="246285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Heliocentric Transfer Mission (Example)</a:t>
          </a:r>
        </a:p>
      </xdr:txBody>
    </xdr:sp>
    <xdr:clientData/>
  </xdr:oneCellAnchor>
  <xdr:twoCellAnchor>
    <xdr:from>
      <xdr:col>7</xdr:col>
      <xdr:colOff>622300</xdr:colOff>
      <xdr:row>142</xdr:row>
      <xdr:rowOff>76200</xdr:rowOff>
    </xdr:from>
    <xdr:to>
      <xdr:col>8</xdr:col>
      <xdr:colOff>25400</xdr:colOff>
      <xdr:row>142</xdr:row>
      <xdr:rowOff>152400</xdr:rowOff>
    </xdr:to>
    <xdr:sp macro="" textlink="">
      <xdr:nvSpPr>
        <xdr:cNvPr id="128179" name="Oval 142">
          <a:extLst>
            <a:ext uri="{FF2B5EF4-FFF2-40B4-BE49-F238E27FC236}">
              <a16:creationId xmlns:a16="http://schemas.microsoft.com/office/drawing/2014/main" id="{0F4DAEC9-8271-1249-9016-A08E09A54B92}"/>
            </a:ext>
          </a:extLst>
        </xdr:cNvPr>
        <xdr:cNvSpPr>
          <a:spLocks noChangeArrowheads="1"/>
        </xdr:cNvSpPr>
      </xdr:nvSpPr>
      <xdr:spPr bwMode="auto">
        <a:xfrm>
          <a:off x="8293100" y="24358600"/>
          <a:ext cx="76200" cy="76200"/>
        </a:xfrm>
        <a:prstGeom prst="ellipse">
          <a:avLst/>
        </a:prstGeom>
        <a:solidFill>
          <a:srgbClr val="000000"/>
        </a:solidFill>
        <a:ln w="9525">
          <a:solidFill>
            <a:srgbClr val="000000"/>
          </a:solidFill>
          <a:round/>
          <a:headEnd/>
          <a:tailEnd/>
        </a:ln>
      </xdr:spPr>
    </xdr:sp>
    <xdr:clientData/>
  </xdr:twoCellAnchor>
  <xdr:oneCellAnchor>
    <xdr:from>
      <xdr:col>8</xdr:col>
      <xdr:colOff>57150</xdr:colOff>
      <xdr:row>142</xdr:row>
      <xdr:rowOff>38100</xdr:rowOff>
    </xdr:from>
    <xdr:ext cx="1251626" cy="170560"/>
    <xdr:sp macro="" textlink="">
      <xdr:nvSpPr>
        <xdr:cNvPr id="1167" name="Text Box 143">
          <a:extLst>
            <a:ext uri="{FF2B5EF4-FFF2-40B4-BE49-F238E27FC236}">
              <a16:creationId xmlns:a16="http://schemas.microsoft.com/office/drawing/2014/main" id="{89D8D70B-AB59-034F-8D5A-18BC4B285A16}"/>
            </a:ext>
          </a:extLst>
        </xdr:cNvPr>
        <xdr:cNvSpPr txBox="1">
          <a:spLocks noChangeArrowheads="1"/>
        </xdr:cNvSpPr>
      </xdr:nvSpPr>
      <xdr:spPr bwMode="auto">
        <a:xfrm>
          <a:off x="8401050" y="24320500"/>
          <a:ext cx="1251626"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Future Intercept Point</a:t>
          </a:r>
        </a:p>
      </xdr:txBody>
    </xdr:sp>
    <xdr:clientData/>
  </xdr:oneCellAnchor>
  <xdr:twoCellAnchor>
    <xdr:from>
      <xdr:col>3</xdr:col>
      <xdr:colOff>469900</xdr:colOff>
      <xdr:row>135</xdr:row>
      <xdr:rowOff>139700</xdr:rowOff>
    </xdr:from>
    <xdr:to>
      <xdr:col>3</xdr:col>
      <xdr:colOff>787400</xdr:colOff>
      <xdr:row>137</xdr:row>
      <xdr:rowOff>139700</xdr:rowOff>
    </xdr:to>
    <xdr:sp macro="" textlink="">
      <xdr:nvSpPr>
        <xdr:cNvPr id="128181" name="Line 144">
          <a:extLst>
            <a:ext uri="{FF2B5EF4-FFF2-40B4-BE49-F238E27FC236}">
              <a16:creationId xmlns:a16="http://schemas.microsoft.com/office/drawing/2014/main" id="{C96C9488-4E67-9E41-9A8C-3AB51FCC5B00}"/>
            </a:ext>
          </a:extLst>
        </xdr:cNvPr>
        <xdr:cNvSpPr>
          <a:spLocks noChangeShapeType="1"/>
        </xdr:cNvSpPr>
      </xdr:nvSpPr>
      <xdr:spPr bwMode="auto">
        <a:xfrm flipH="1" flipV="1">
          <a:off x="5067300" y="23266400"/>
          <a:ext cx="317500" cy="3302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520700</xdr:colOff>
      <xdr:row>148</xdr:row>
      <xdr:rowOff>88900</xdr:rowOff>
    </xdr:from>
    <xdr:to>
      <xdr:col>7</xdr:col>
      <xdr:colOff>254000</xdr:colOff>
      <xdr:row>150</xdr:row>
      <xdr:rowOff>114300</xdr:rowOff>
    </xdr:to>
    <xdr:sp macro="" textlink="">
      <xdr:nvSpPr>
        <xdr:cNvPr id="128182" name="Line 145">
          <a:extLst>
            <a:ext uri="{FF2B5EF4-FFF2-40B4-BE49-F238E27FC236}">
              <a16:creationId xmlns:a16="http://schemas.microsoft.com/office/drawing/2014/main" id="{7D71EBAC-BDD3-C644-9A68-8C9B1349CA6D}"/>
            </a:ext>
          </a:extLst>
        </xdr:cNvPr>
        <xdr:cNvSpPr>
          <a:spLocks noChangeShapeType="1"/>
        </xdr:cNvSpPr>
      </xdr:nvSpPr>
      <xdr:spPr bwMode="auto">
        <a:xfrm flipV="1">
          <a:off x="7366000" y="25361900"/>
          <a:ext cx="558800" cy="3556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368300</xdr:colOff>
      <xdr:row>148</xdr:row>
      <xdr:rowOff>63500</xdr:rowOff>
    </xdr:from>
    <xdr:to>
      <xdr:col>7</xdr:col>
      <xdr:colOff>584200</xdr:colOff>
      <xdr:row>151</xdr:row>
      <xdr:rowOff>50800</xdr:rowOff>
    </xdr:to>
    <xdr:sp macro="" textlink="">
      <xdr:nvSpPr>
        <xdr:cNvPr id="128183" name="Line 146">
          <a:extLst>
            <a:ext uri="{FF2B5EF4-FFF2-40B4-BE49-F238E27FC236}">
              <a16:creationId xmlns:a16="http://schemas.microsoft.com/office/drawing/2014/main" id="{F832E983-E074-F04B-B148-A3E4749553F5}"/>
            </a:ext>
          </a:extLst>
        </xdr:cNvPr>
        <xdr:cNvSpPr>
          <a:spLocks noChangeShapeType="1"/>
        </xdr:cNvSpPr>
      </xdr:nvSpPr>
      <xdr:spPr bwMode="auto">
        <a:xfrm flipV="1">
          <a:off x="8039100" y="25336500"/>
          <a:ext cx="215900" cy="4826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1714500</xdr:colOff>
      <xdr:row>12</xdr:row>
      <xdr:rowOff>88900</xdr:rowOff>
    </xdr:from>
    <xdr:to>
      <xdr:col>1</xdr:col>
      <xdr:colOff>190500</xdr:colOff>
      <xdr:row>12</xdr:row>
      <xdr:rowOff>88900</xdr:rowOff>
    </xdr:to>
    <xdr:sp macro="" textlink="">
      <xdr:nvSpPr>
        <xdr:cNvPr id="21610" name="Line 1">
          <a:extLst>
            <a:ext uri="{FF2B5EF4-FFF2-40B4-BE49-F238E27FC236}">
              <a16:creationId xmlns:a16="http://schemas.microsoft.com/office/drawing/2014/main" id="{3FDAA0DE-28A2-404B-9EAF-6A437ECF87AD}"/>
            </a:ext>
          </a:extLst>
        </xdr:cNvPr>
        <xdr:cNvSpPr>
          <a:spLocks noChangeShapeType="1"/>
        </xdr:cNvSpPr>
      </xdr:nvSpPr>
      <xdr:spPr bwMode="auto">
        <a:xfrm>
          <a:off x="1714500" y="2362200"/>
          <a:ext cx="4445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1689100</xdr:colOff>
      <xdr:row>18</xdr:row>
      <xdr:rowOff>88900</xdr:rowOff>
    </xdr:from>
    <xdr:to>
      <xdr:col>1</xdr:col>
      <xdr:colOff>203200</xdr:colOff>
      <xdr:row>18</xdr:row>
      <xdr:rowOff>88900</xdr:rowOff>
    </xdr:to>
    <xdr:sp macro="" textlink="">
      <xdr:nvSpPr>
        <xdr:cNvPr id="21611" name="Line 2">
          <a:extLst>
            <a:ext uri="{FF2B5EF4-FFF2-40B4-BE49-F238E27FC236}">
              <a16:creationId xmlns:a16="http://schemas.microsoft.com/office/drawing/2014/main" id="{C6A0CBFD-E275-0447-AAC7-0CD987E15DD2}"/>
            </a:ext>
          </a:extLst>
        </xdr:cNvPr>
        <xdr:cNvSpPr>
          <a:spLocks noChangeShapeType="1"/>
        </xdr:cNvSpPr>
      </xdr:nvSpPr>
      <xdr:spPr bwMode="auto">
        <a:xfrm>
          <a:off x="1689100" y="3378200"/>
          <a:ext cx="4826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635000</xdr:colOff>
      <xdr:row>0</xdr:row>
      <xdr:rowOff>139700</xdr:rowOff>
    </xdr:from>
    <xdr:to>
      <xdr:col>12</xdr:col>
      <xdr:colOff>635000</xdr:colOff>
      <xdr:row>9</xdr:row>
      <xdr:rowOff>0</xdr:rowOff>
    </xdr:to>
    <xdr:sp macro="" textlink="">
      <xdr:nvSpPr>
        <xdr:cNvPr id="21612" name="Line 3">
          <a:extLst>
            <a:ext uri="{FF2B5EF4-FFF2-40B4-BE49-F238E27FC236}">
              <a16:creationId xmlns:a16="http://schemas.microsoft.com/office/drawing/2014/main" id="{054D1AD6-891F-8E43-AE18-56C7AE15947D}"/>
            </a:ext>
          </a:extLst>
        </xdr:cNvPr>
        <xdr:cNvSpPr>
          <a:spLocks noChangeShapeType="1"/>
        </xdr:cNvSpPr>
      </xdr:nvSpPr>
      <xdr:spPr bwMode="auto">
        <a:xfrm flipH="1">
          <a:off x="10325100" y="139700"/>
          <a:ext cx="0" cy="16256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0</xdr:row>
      <xdr:rowOff>127000</xdr:rowOff>
    </xdr:from>
    <xdr:to>
      <xdr:col>12</xdr:col>
      <xdr:colOff>647700</xdr:colOff>
      <xdr:row>0</xdr:row>
      <xdr:rowOff>127000</xdr:rowOff>
    </xdr:to>
    <xdr:sp macro="" textlink="">
      <xdr:nvSpPr>
        <xdr:cNvPr id="21613" name="Line 4">
          <a:extLst>
            <a:ext uri="{FF2B5EF4-FFF2-40B4-BE49-F238E27FC236}">
              <a16:creationId xmlns:a16="http://schemas.microsoft.com/office/drawing/2014/main" id="{4A91FA41-F65B-A14A-A217-1CD2E30E2A8D}"/>
            </a:ext>
          </a:extLst>
        </xdr:cNvPr>
        <xdr:cNvSpPr>
          <a:spLocks noChangeShapeType="1"/>
        </xdr:cNvSpPr>
      </xdr:nvSpPr>
      <xdr:spPr bwMode="auto">
        <a:xfrm flipV="1">
          <a:off x="5524500" y="127000"/>
          <a:ext cx="4813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647700</xdr:colOff>
      <xdr:row>12</xdr:row>
      <xdr:rowOff>63500</xdr:rowOff>
    </xdr:from>
    <xdr:to>
      <xdr:col>12</xdr:col>
      <xdr:colOff>647700</xdr:colOff>
      <xdr:row>14</xdr:row>
      <xdr:rowOff>127000</xdr:rowOff>
    </xdr:to>
    <xdr:sp macro="" textlink="">
      <xdr:nvSpPr>
        <xdr:cNvPr id="21614" name="Line 5">
          <a:extLst>
            <a:ext uri="{FF2B5EF4-FFF2-40B4-BE49-F238E27FC236}">
              <a16:creationId xmlns:a16="http://schemas.microsoft.com/office/drawing/2014/main" id="{DB863147-EDF1-A349-99F6-1EB57A77C0A4}"/>
            </a:ext>
          </a:extLst>
        </xdr:cNvPr>
        <xdr:cNvSpPr>
          <a:spLocks noChangeShapeType="1"/>
        </xdr:cNvSpPr>
      </xdr:nvSpPr>
      <xdr:spPr bwMode="auto">
        <a:xfrm flipH="1">
          <a:off x="10337800" y="2336800"/>
          <a:ext cx="0" cy="3937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650875</xdr:colOff>
      <xdr:row>10</xdr:row>
      <xdr:rowOff>9525</xdr:rowOff>
    </xdr:from>
    <xdr:to>
      <xdr:col>3</xdr:col>
      <xdr:colOff>905564</xdr:colOff>
      <xdr:row>14</xdr:row>
      <xdr:rowOff>0</xdr:rowOff>
    </xdr:to>
    <xdr:sp macro="" textlink="">
      <xdr:nvSpPr>
        <xdr:cNvPr id="12289" name="Rectangle 1">
          <a:extLst>
            <a:ext uri="{FF2B5EF4-FFF2-40B4-BE49-F238E27FC236}">
              <a16:creationId xmlns:a16="http://schemas.microsoft.com/office/drawing/2014/main" id="{EC8957C0-8491-C746-838C-B5E9F2AF43A6}"/>
            </a:ext>
          </a:extLst>
        </xdr:cNvPr>
        <xdr:cNvSpPr>
          <a:spLocks noChangeArrowheads="1"/>
        </xdr:cNvSpPr>
      </xdr:nvSpPr>
      <xdr:spPr bwMode="auto">
        <a:xfrm>
          <a:off x="1819275" y="1781175"/>
          <a:ext cx="800100" cy="638175"/>
        </a:xfrm>
        <a:prstGeom prst="rect">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1">
            <a:defRPr sz="1000"/>
          </a:pP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TX</a:t>
          </a:r>
        </a:p>
      </xdr:txBody>
    </xdr:sp>
    <xdr:clientData/>
  </xdr:twoCellAnchor>
  <xdr:twoCellAnchor>
    <xdr:from>
      <xdr:col>3</xdr:col>
      <xdr:colOff>901700</xdr:colOff>
      <xdr:row>12</xdr:row>
      <xdr:rowOff>0</xdr:rowOff>
    </xdr:from>
    <xdr:to>
      <xdr:col>4</xdr:col>
      <xdr:colOff>0</xdr:colOff>
      <xdr:row>12</xdr:row>
      <xdr:rowOff>0</xdr:rowOff>
    </xdr:to>
    <xdr:sp macro="" textlink="">
      <xdr:nvSpPr>
        <xdr:cNvPr id="12678" name="Line 2">
          <a:extLst>
            <a:ext uri="{FF2B5EF4-FFF2-40B4-BE49-F238E27FC236}">
              <a16:creationId xmlns:a16="http://schemas.microsoft.com/office/drawing/2014/main" id="{EFC94807-661E-7743-A98F-9D67DCC81CDD}"/>
            </a:ext>
          </a:extLst>
        </xdr:cNvPr>
        <xdr:cNvSpPr>
          <a:spLocks noChangeShapeType="1"/>
        </xdr:cNvSpPr>
      </xdr:nvSpPr>
      <xdr:spPr bwMode="auto">
        <a:xfrm>
          <a:off x="2921000" y="2133600"/>
          <a:ext cx="889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107950</xdr:rowOff>
    </xdr:from>
    <xdr:to>
      <xdr:col>5</xdr:col>
      <xdr:colOff>0</xdr:colOff>
      <xdr:row>13</xdr:row>
      <xdr:rowOff>66699</xdr:rowOff>
    </xdr:to>
    <xdr:sp macro="" textlink="">
      <xdr:nvSpPr>
        <xdr:cNvPr id="12291" name="Rectangle 3">
          <a:extLst>
            <a:ext uri="{FF2B5EF4-FFF2-40B4-BE49-F238E27FC236}">
              <a16:creationId xmlns:a16="http://schemas.microsoft.com/office/drawing/2014/main" id="{5C523D20-3104-2F4D-B668-44F3279A1408}"/>
            </a:ext>
          </a:extLst>
        </xdr:cNvPr>
        <xdr:cNvSpPr>
          <a:spLocks noChangeArrowheads="1"/>
        </xdr:cNvSpPr>
      </xdr:nvSpPr>
      <xdr:spPr bwMode="auto">
        <a:xfrm>
          <a:off x="3390900" y="1866900"/>
          <a:ext cx="609600" cy="457200"/>
        </a:xfrm>
        <a:prstGeom prst="rect">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1">
            <a:defRPr sz="1000"/>
          </a:pP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Filter</a:t>
          </a:r>
        </a:p>
      </xdr:txBody>
    </xdr:sp>
    <xdr:clientData/>
  </xdr:twoCellAnchor>
  <xdr:twoCellAnchor>
    <xdr:from>
      <xdr:col>6</xdr:col>
      <xdr:colOff>0</xdr:colOff>
      <xdr:row>10</xdr:row>
      <xdr:rowOff>104775</xdr:rowOff>
    </xdr:from>
    <xdr:to>
      <xdr:col>7</xdr:col>
      <xdr:colOff>47625</xdr:colOff>
      <xdr:row>13</xdr:row>
      <xdr:rowOff>114300</xdr:rowOff>
    </xdr:to>
    <xdr:sp macro="" textlink="">
      <xdr:nvSpPr>
        <xdr:cNvPr id="12292" name="Rectangle 4">
          <a:extLst>
            <a:ext uri="{FF2B5EF4-FFF2-40B4-BE49-F238E27FC236}">
              <a16:creationId xmlns:a16="http://schemas.microsoft.com/office/drawing/2014/main" id="{16767E32-9BB0-A641-891F-04ED52C15CB6}"/>
            </a:ext>
          </a:extLst>
        </xdr:cNvPr>
        <xdr:cNvSpPr>
          <a:spLocks noChangeArrowheads="1"/>
        </xdr:cNvSpPr>
      </xdr:nvSpPr>
      <xdr:spPr bwMode="auto">
        <a:xfrm>
          <a:off x="4619625" y="1876425"/>
          <a:ext cx="647700" cy="495300"/>
        </a:xfrm>
        <a:prstGeom prst="rect">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900" b="1" i="0" strike="noStrike">
              <a:solidFill>
                <a:srgbClr val="000000"/>
              </a:solidFill>
              <a:latin typeface="Arial"/>
              <a:cs typeface="Arial"/>
            </a:rPr>
            <a:t>Other</a:t>
          </a:r>
          <a:r>
            <a:rPr lang="en-US" sz="1000" b="1" i="0" strike="noStrike">
              <a:solidFill>
                <a:srgbClr val="000000"/>
              </a:solidFill>
              <a:latin typeface="Arial"/>
              <a:cs typeface="Arial"/>
            </a:rPr>
            <a:t> </a:t>
          </a:r>
        </a:p>
        <a:p>
          <a:pPr algn="ctr" rtl="1">
            <a:defRPr sz="1000"/>
          </a:pPr>
          <a:r>
            <a:rPr lang="en-US" sz="900" b="1" i="0" strike="noStrike">
              <a:solidFill>
                <a:srgbClr val="000000"/>
              </a:solidFill>
              <a:latin typeface="Arial"/>
              <a:cs typeface="Arial"/>
            </a:rPr>
            <a:t>In</a:t>
          </a:r>
          <a:r>
            <a:rPr lang="en-US" sz="1000" b="1" i="0" strike="noStrike">
              <a:solidFill>
                <a:srgbClr val="000000"/>
              </a:solidFill>
              <a:latin typeface="Arial"/>
              <a:cs typeface="Arial"/>
            </a:rPr>
            <a:t>-</a:t>
          </a:r>
          <a:r>
            <a:rPr lang="en-US" sz="900" b="1" i="0" strike="noStrike">
              <a:solidFill>
                <a:srgbClr val="000000"/>
              </a:solidFill>
              <a:latin typeface="Arial"/>
              <a:cs typeface="Arial"/>
            </a:rPr>
            <a:t>Line</a:t>
          </a:r>
          <a:endParaRPr lang="en-US" sz="1000" b="1"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Device</a:t>
          </a:r>
          <a:r>
            <a:rPr lang="en-US" sz="900" b="1" i="0" strike="noStrike">
              <a:solidFill>
                <a:srgbClr val="000000"/>
              </a:solidFill>
              <a:latin typeface="Arial"/>
              <a:cs typeface="Arial"/>
            </a:rPr>
            <a:t>:</a:t>
          </a:r>
        </a:p>
      </xdr:txBody>
    </xdr:sp>
    <xdr:clientData/>
  </xdr:twoCellAnchor>
  <xdr:twoCellAnchor>
    <xdr:from>
      <xdr:col>5</xdr:col>
      <xdr:colOff>12700</xdr:colOff>
      <xdr:row>12</xdr:row>
      <xdr:rowOff>0</xdr:rowOff>
    </xdr:from>
    <xdr:to>
      <xdr:col>5</xdr:col>
      <xdr:colOff>698500</xdr:colOff>
      <xdr:row>12</xdr:row>
      <xdr:rowOff>0</xdr:rowOff>
    </xdr:to>
    <xdr:sp macro="" textlink="">
      <xdr:nvSpPr>
        <xdr:cNvPr id="12681" name="Line 5">
          <a:extLst>
            <a:ext uri="{FF2B5EF4-FFF2-40B4-BE49-F238E27FC236}">
              <a16:creationId xmlns:a16="http://schemas.microsoft.com/office/drawing/2014/main" id="{C20A378A-455B-F844-8BB3-322D2FF2950B}"/>
            </a:ext>
          </a:extLst>
        </xdr:cNvPr>
        <xdr:cNvSpPr>
          <a:spLocks noChangeShapeType="1"/>
        </xdr:cNvSpPr>
      </xdr:nvSpPr>
      <xdr:spPr bwMode="auto">
        <a:xfrm>
          <a:off x="4495800" y="2133600"/>
          <a:ext cx="6858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660400</xdr:colOff>
      <xdr:row>8</xdr:row>
      <xdr:rowOff>25400</xdr:rowOff>
    </xdr:from>
    <xdr:to>
      <xdr:col>8</xdr:col>
      <xdr:colOff>596900</xdr:colOff>
      <xdr:row>10</xdr:row>
      <xdr:rowOff>139700</xdr:rowOff>
    </xdr:to>
    <xdr:sp macro="" textlink="">
      <xdr:nvSpPr>
        <xdr:cNvPr id="12682" name="AutoShape 6">
          <a:extLst>
            <a:ext uri="{FF2B5EF4-FFF2-40B4-BE49-F238E27FC236}">
              <a16:creationId xmlns:a16="http://schemas.microsoft.com/office/drawing/2014/main" id="{78069432-6A58-B642-A06B-18E1EDBFD1FA}"/>
            </a:ext>
          </a:extLst>
        </xdr:cNvPr>
        <xdr:cNvSpPr>
          <a:spLocks noChangeArrowheads="1"/>
        </xdr:cNvSpPr>
      </xdr:nvSpPr>
      <xdr:spPr bwMode="auto">
        <a:xfrm rot="10800000">
          <a:off x="6540500" y="1498600"/>
          <a:ext cx="609600" cy="444500"/>
        </a:xfrm>
        <a:prstGeom prst="triangle">
          <a:avLst>
            <a:gd name="adj" fmla="val 50000"/>
          </a:avLst>
        </a:prstGeom>
        <a:solidFill>
          <a:srgbClr val="FFFFFF"/>
        </a:solidFill>
        <a:ln w="19050">
          <a:solidFill>
            <a:srgbClr val="000000"/>
          </a:solidFill>
          <a:miter lim="800000"/>
          <a:headEnd/>
          <a:tailEnd/>
        </a:ln>
      </xdr:spPr>
    </xdr:sp>
    <xdr:clientData/>
  </xdr:twoCellAnchor>
  <xdr:twoCellAnchor>
    <xdr:from>
      <xdr:col>8</xdr:col>
      <xdr:colOff>292100</xdr:colOff>
      <xdr:row>8</xdr:row>
      <xdr:rowOff>25400</xdr:rowOff>
    </xdr:from>
    <xdr:to>
      <xdr:col>8</xdr:col>
      <xdr:colOff>292100</xdr:colOff>
      <xdr:row>12</xdr:row>
      <xdr:rowOff>0</xdr:rowOff>
    </xdr:to>
    <xdr:sp macro="" textlink="">
      <xdr:nvSpPr>
        <xdr:cNvPr id="12683" name="Line 7">
          <a:extLst>
            <a:ext uri="{FF2B5EF4-FFF2-40B4-BE49-F238E27FC236}">
              <a16:creationId xmlns:a16="http://schemas.microsoft.com/office/drawing/2014/main" id="{B4F4E27A-E9BE-F847-8EA1-A3E99FE24A34}"/>
            </a:ext>
          </a:extLst>
        </xdr:cNvPr>
        <xdr:cNvSpPr>
          <a:spLocks noChangeShapeType="1"/>
        </xdr:cNvSpPr>
      </xdr:nvSpPr>
      <xdr:spPr bwMode="auto">
        <a:xfrm>
          <a:off x="6845300" y="1498600"/>
          <a:ext cx="0" cy="6350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12</xdr:row>
      <xdr:rowOff>0</xdr:rowOff>
    </xdr:from>
    <xdr:to>
      <xdr:col>8</xdr:col>
      <xdr:colOff>279400</xdr:colOff>
      <xdr:row>12</xdr:row>
      <xdr:rowOff>0</xdr:rowOff>
    </xdr:to>
    <xdr:sp macro="" textlink="">
      <xdr:nvSpPr>
        <xdr:cNvPr id="12684" name="Line 8">
          <a:extLst>
            <a:ext uri="{FF2B5EF4-FFF2-40B4-BE49-F238E27FC236}">
              <a16:creationId xmlns:a16="http://schemas.microsoft.com/office/drawing/2014/main" id="{67A59836-3207-7149-8BBB-A4B52F8FC53B}"/>
            </a:ext>
          </a:extLst>
        </xdr:cNvPr>
        <xdr:cNvSpPr>
          <a:spLocks noChangeShapeType="1"/>
        </xdr:cNvSpPr>
      </xdr:nvSpPr>
      <xdr:spPr bwMode="auto">
        <a:xfrm>
          <a:off x="5918200" y="2133600"/>
          <a:ext cx="914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46</xdr:row>
      <xdr:rowOff>0</xdr:rowOff>
    </xdr:from>
    <xdr:to>
      <xdr:col>3</xdr:col>
      <xdr:colOff>933450</xdr:colOff>
      <xdr:row>49</xdr:row>
      <xdr:rowOff>152400</xdr:rowOff>
    </xdr:to>
    <xdr:sp macro="" textlink="">
      <xdr:nvSpPr>
        <xdr:cNvPr id="12297" name="Rectangle 9">
          <a:extLst>
            <a:ext uri="{FF2B5EF4-FFF2-40B4-BE49-F238E27FC236}">
              <a16:creationId xmlns:a16="http://schemas.microsoft.com/office/drawing/2014/main" id="{A3A11E06-48CE-314F-9803-82227CEB3CF4}"/>
            </a:ext>
          </a:extLst>
        </xdr:cNvPr>
        <xdr:cNvSpPr>
          <a:spLocks noChangeArrowheads="1"/>
        </xdr:cNvSpPr>
      </xdr:nvSpPr>
      <xdr:spPr bwMode="auto">
        <a:xfrm>
          <a:off x="1847850" y="7639050"/>
          <a:ext cx="800100" cy="638175"/>
        </a:xfrm>
        <a:prstGeom prst="rect">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1">
            <a:defRPr sz="1000"/>
          </a:pPr>
          <a:endParaRPr lang="en-US" sz="1000" b="0" i="0" strike="noStrike">
            <a:solidFill>
              <a:srgbClr val="000000"/>
            </a:solidFill>
            <a:latin typeface="Arial"/>
            <a:cs typeface="Arial"/>
          </a:endParaRPr>
        </a:p>
        <a:p>
          <a:pPr algn="ctr" rtl="1">
            <a:defRPr sz="1000"/>
          </a:pPr>
          <a:r>
            <a:rPr lang="en-US" sz="1000" b="0" i="0" strike="noStrike">
              <a:solidFill>
                <a:srgbClr val="000000"/>
              </a:solidFill>
              <a:latin typeface="Arial"/>
              <a:cs typeface="Arial"/>
            </a:rPr>
            <a:t>TX</a:t>
          </a:r>
        </a:p>
      </xdr:txBody>
    </xdr:sp>
    <xdr:clientData/>
  </xdr:twoCellAnchor>
  <xdr:twoCellAnchor>
    <xdr:from>
      <xdr:col>3</xdr:col>
      <xdr:colOff>927100</xdr:colOff>
      <xdr:row>47</xdr:row>
      <xdr:rowOff>152400</xdr:rowOff>
    </xdr:from>
    <xdr:to>
      <xdr:col>4</xdr:col>
      <xdr:colOff>25400</xdr:colOff>
      <xdr:row>47</xdr:row>
      <xdr:rowOff>152400</xdr:rowOff>
    </xdr:to>
    <xdr:sp macro="" textlink="">
      <xdr:nvSpPr>
        <xdr:cNvPr id="12686" name="Line 10">
          <a:extLst>
            <a:ext uri="{FF2B5EF4-FFF2-40B4-BE49-F238E27FC236}">
              <a16:creationId xmlns:a16="http://schemas.microsoft.com/office/drawing/2014/main" id="{D32951FE-3E29-A043-8BDA-F697E8723EB9}"/>
            </a:ext>
          </a:extLst>
        </xdr:cNvPr>
        <xdr:cNvSpPr>
          <a:spLocks noChangeShapeType="1"/>
        </xdr:cNvSpPr>
      </xdr:nvSpPr>
      <xdr:spPr bwMode="auto">
        <a:xfrm>
          <a:off x="2946400" y="8102600"/>
          <a:ext cx="889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46</xdr:row>
      <xdr:rowOff>98425</xdr:rowOff>
    </xdr:from>
    <xdr:to>
      <xdr:col>5</xdr:col>
      <xdr:colOff>31928</xdr:colOff>
      <xdr:row>49</xdr:row>
      <xdr:rowOff>69850</xdr:rowOff>
    </xdr:to>
    <xdr:sp macro="" textlink="">
      <xdr:nvSpPr>
        <xdr:cNvPr id="12299" name="Rectangle 11">
          <a:extLst>
            <a:ext uri="{FF2B5EF4-FFF2-40B4-BE49-F238E27FC236}">
              <a16:creationId xmlns:a16="http://schemas.microsoft.com/office/drawing/2014/main" id="{D8510E37-FFE8-804F-9B42-80218273473F}"/>
            </a:ext>
          </a:extLst>
        </xdr:cNvPr>
        <xdr:cNvSpPr>
          <a:spLocks noChangeArrowheads="1"/>
        </xdr:cNvSpPr>
      </xdr:nvSpPr>
      <xdr:spPr bwMode="auto">
        <a:xfrm>
          <a:off x="3409950" y="7724775"/>
          <a:ext cx="609600" cy="457200"/>
        </a:xfrm>
        <a:prstGeom prst="rect">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1">
            <a:defRPr sz="1000"/>
          </a:pPr>
          <a:endParaRPr lang="en-US" sz="1000" b="0" i="0" strike="noStrike">
            <a:solidFill>
              <a:srgbClr val="000000"/>
            </a:solidFill>
            <a:latin typeface="Arial"/>
            <a:cs typeface="Arial"/>
          </a:endParaRPr>
        </a:p>
        <a:p>
          <a:pPr algn="ctr" rtl="1">
            <a:defRPr sz="1000"/>
          </a:pPr>
          <a:r>
            <a:rPr lang="en-US" sz="1000" b="0" i="0" strike="noStrike">
              <a:solidFill>
                <a:srgbClr val="000000"/>
              </a:solidFill>
              <a:latin typeface="Arial"/>
              <a:cs typeface="Arial"/>
            </a:rPr>
            <a:t>Filter</a:t>
          </a:r>
        </a:p>
      </xdr:txBody>
    </xdr:sp>
    <xdr:clientData/>
  </xdr:twoCellAnchor>
  <xdr:twoCellAnchor>
    <xdr:from>
      <xdr:col>6</xdr:col>
      <xdr:colOff>19050</xdr:colOff>
      <xdr:row>46</xdr:row>
      <xdr:rowOff>107950</xdr:rowOff>
    </xdr:from>
    <xdr:to>
      <xdr:col>7</xdr:col>
      <xdr:colOff>28575</xdr:colOff>
      <xdr:row>49</xdr:row>
      <xdr:rowOff>146050</xdr:rowOff>
    </xdr:to>
    <xdr:sp macro="" textlink="">
      <xdr:nvSpPr>
        <xdr:cNvPr id="12300" name="Rectangle 12">
          <a:extLst>
            <a:ext uri="{FF2B5EF4-FFF2-40B4-BE49-F238E27FC236}">
              <a16:creationId xmlns:a16="http://schemas.microsoft.com/office/drawing/2014/main" id="{ADB2629A-9D4A-3D43-BA0B-97488DEC1CBD}"/>
            </a:ext>
          </a:extLst>
        </xdr:cNvPr>
        <xdr:cNvSpPr>
          <a:spLocks noChangeArrowheads="1"/>
        </xdr:cNvSpPr>
      </xdr:nvSpPr>
      <xdr:spPr bwMode="auto">
        <a:xfrm>
          <a:off x="4638675" y="7734300"/>
          <a:ext cx="609600" cy="523875"/>
        </a:xfrm>
        <a:prstGeom prst="rect">
          <a:avLst/>
        </a:prstGeom>
        <a:solidFill>
          <a:srgbClr val="FFFF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0" i="0" strike="noStrike">
              <a:solidFill>
                <a:srgbClr val="000000"/>
              </a:solidFill>
              <a:latin typeface="Arial"/>
              <a:cs typeface="Arial"/>
            </a:rPr>
            <a:t>Other</a:t>
          </a:r>
        </a:p>
        <a:p>
          <a:pPr algn="ctr" rtl="1">
            <a:defRPr sz="1000"/>
          </a:pPr>
          <a:r>
            <a:rPr lang="en-US" sz="1000" b="0" i="0" strike="noStrike">
              <a:solidFill>
                <a:srgbClr val="000000"/>
              </a:solidFill>
              <a:latin typeface="Arial"/>
              <a:cs typeface="Arial"/>
            </a:rPr>
            <a:t>In-Line</a:t>
          </a:r>
        </a:p>
        <a:p>
          <a:pPr algn="ctr" rtl="1">
            <a:defRPr sz="1000"/>
          </a:pPr>
          <a:r>
            <a:rPr lang="en-US" sz="1000" b="0" i="0" strike="noStrike">
              <a:solidFill>
                <a:srgbClr val="000000"/>
              </a:solidFill>
              <a:latin typeface="Arial"/>
              <a:cs typeface="Arial"/>
            </a:rPr>
            <a:t>Losses:</a:t>
          </a:r>
        </a:p>
      </xdr:txBody>
    </xdr:sp>
    <xdr:clientData/>
  </xdr:twoCellAnchor>
  <xdr:twoCellAnchor>
    <xdr:from>
      <xdr:col>5</xdr:col>
      <xdr:colOff>38100</xdr:colOff>
      <xdr:row>47</xdr:row>
      <xdr:rowOff>152400</xdr:rowOff>
    </xdr:from>
    <xdr:to>
      <xdr:col>6</xdr:col>
      <xdr:colOff>12700</xdr:colOff>
      <xdr:row>47</xdr:row>
      <xdr:rowOff>152400</xdr:rowOff>
    </xdr:to>
    <xdr:sp macro="" textlink="">
      <xdr:nvSpPr>
        <xdr:cNvPr id="12689" name="Line 13">
          <a:extLst>
            <a:ext uri="{FF2B5EF4-FFF2-40B4-BE49-F238E27FC236}">
              <a16:creationId xmlns:a16="http://schemas.microsoft.com/office/drawing/2014/main" id="{C97D6EF6-47BF-8347-91ED-0D5A9E560110}"/>
            </a:ext>
          </a:extLst>
        </xdr:cNvPr>
        <xdr:cNvSpPr>
          <a:spLocks noChangeShapeType="1"/>
        </xdr:cNvSpPr>
      </xdr:nvSpPr>
      <xdr:spPr bwMode="auto">
        <a:xfrm>
          <a:off x="4521200" y="8102600"/>
          <a:ext cx="6858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12700</xdr:colOff>
      <xdr:row>44</xdr:row>
      <xdr:rowOff>25400</xdr:rowOff>
    </xdr:from>
    <xdr:to>
      <xdr:col>8</xdr:col>
      <xdr:colOff>622300</xdr:colOff>
      <xdr:row>46</xdr:row>
      <xdr:rowOff>127000</xdr:rowOff>
    </xdr:to>
    <xdr:sp macro="" textlink="">
      <xdr:nvSpPr>
        <xdr:cNvPr id="12690" name="AutoShape 14">
          <a:extLst>
            <a:ext uri="{FF2B5EF4-FFF2-40B4-BE49-F238E27FC236}">
              <a16:creationId xmlns:a16="http://schemas.microsoft.com/office/drawing/2014/main" id="{C903B923-D701-AE47-AE0E-F25C72E25A65}"/>
            </a:ext>
          </a:extLst>
        </xdr:cNvPr>
        <xdr:cNvSpPr>
          <a:spLocks noChangeArrowheads="1"/>
        </xdr:cNvSpPr>
      </xdr:nvSpPr>
      <xdr:spPr bwMode="auto">
        <a:xfrm rot="10800000">
          <a:off x="6565900" y="7480300"/>
          <a:ext cx="609600" cy="431800"/>
        </a:xfrm>
        <a:prstGeom prst="triangle">
          <a:avLst>
            <a:gd name="adj" fmla="val 50000"/>
          </a:avLst>
        </a:prstGeom>
        <a:solidFill>
          <a:srgbClr val="FFFFFF"/>
        </a:solidFill>
        <a:ln w="19050">
          <a:solidFill>
            <a:srgbClr val="000000"/>
          </a:solidFill>
          <a:miter lim="800000"/>
          <a:headEnd/>
          <a:tailEnd/>
        </a:ln>
      </xdr:spPr>
    </xdr:sp>
    <xdr:clientData/>
  </xdr:twoCellAnchor>
  <xdr:twoCellAnchor>
    <xdr:from>
      <xdr:col>8</xdr:col>
      <xdr:colOff>317500</xdr:colOff>
      <xdr:row>44</xdr:row>
      <xdr:rowOff>12700</xdr:rowOff>
    </xdr:from>
    <xdr:to>
      <xdr:col>8</xdr:col>
      <xdr:colOff>317500</xdr:colOff>
      <xdr:row>47</xdr:row>
      <xdr:rowOff>152400</xdr:rowOff>
    </xdr:to>
    <xdr:sp macro="" textlink="">
      <xdr:nvSpPr>
        <xdr:cNvPr id="12691" name="Line 15">
          <a:extLst>
            <a:ext uri="{FF2B5EF4-FFF2-40B4-BE49-F238E27FC236}">
              <a16:creationId xmlns:a16="http://schemas.microsoft.com/office/drawing/2014/main" id="{BAD19007-575E-E846-80EE-3683401209A2}"/>
            </a:ext>
          </a:extLst>
        </xdr:cNvPr>
        <xdr:cNvSpPr>
          <a:spLocks noChangeShapeType="1"/>
        </xdr:cNvSpPr>
      </xdr:nvSpPr>
      <xdr:spPr bwMode="auto">
        <a:xfrm>
          <a:off x="6870700" y="7467600"/>
          <a:ext cx="0" cy="6350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25400</xdr:colOff>
      <xdr:row>47</xdr:row>
      <xdr:rowOff>152400</xdr:rowOff>
    </xdr:from>
    <xdr:to>
      <xdr:col>8</xdr:col>
      <xdr:colOff>304800</xdr:colOff>
      <xdr:row>47</xdr:row>
      <xdr:rowOff>152400</xdr:rowOff>
    </xdr:to>
    <xdr:sp macro="" textlink="">
      <xdr:nvSpPr>
        <xdr:cNvPr id="12692" name="Line 16">
          <a:extLst>
            <a:ext uri="{FF2B5EF4-FFF2-40B4-BE49-F238E27FC236}">
              <a16:creationId xmlns:a16="http://schemas.microsoft.com/office/drawing/2014/main" id="{37708464-FA42-DD4D-9867-13F0395A523A}"/>
            </a:ext>
          </a:extLst>
        </xdr:cNvPr>
        <xdr:cNvSpPr>
          <a:spLocks noChangeShapeType="1"/>
        </xdr:cNvSpPr>
      </xdr:nvSpPr>
      <xdr:spPr bwMode="auto">
        <a:xfrm>
          <a:off x="5905500" y="8102600"/>
          <a:ext cx="9525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1130300</xdr:colOff>
      <xdr:row>10</xdr:row>
      <xdr:rowOff>0</xdr:rowOff>
    </xdr:from>
    <xdr:ext cx="445699" cy="183680"/>
    <xdr:sp macro="" textlink="">
      <xdr:nvSpPr>
        <xdr:cNvPr id="12308" name="Text Box 20">
          <a:extLst>
            <a:ext uri="{FF2B5EF4-FFF2-40B4-BE49-F238E27FC236}">
              <a16:creationId xmlns:a16="http://schemas.microsoft.com/office/drawing/2014/main" id="{F3F054FB-C6C6-0B4F-A524-8FB30359FD03}"/>
            </a:ext>
          </a:extLst>
        </xdr:cNvPr>
        <xdr:cNvSpPr txBox="1">
          <a:spLocks noChangeArrowheads="1"/>
        </xdr:cNvSpPr>
      </xdr:nvSpPr>
      <xdr:spPr bwMode="auto">
        <a:xfrm>
          <a:off x="2809009" y="1792432"/>
          <a:ext cx="38202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Line A</a:t>
          </a:r>
        </a:p>
      </xdr:txBody>
    </xdr:sp>
    <xdr:clientData/>
  </xdr:oneCellAnchor>
  <xdr:twoCellAnchor>
    <xdr:from>
      <xdr:col>8</xdr:col>
      <xdr:colOff>596900</xdr:colOff>
      <xdr:row>9</xdr:row>
      <xdr:rowOff>152400</xdr:rowOff>
    </xdr:from>
    <xdr:to>
      <xdr:col>8</xdr:col>
      <xdr:colOff>596900</xdr:colOff>
      <xdr:row>11</xdr:row>
      <xdr:rowOff>101600</xdr:rowOff>
    </xdr:to>
    <xdr:sp macro="" textlink="">
      <xdr:nvSpPr>
        <xdr:cNvPr id="12694" name="Line 21">
          <a:extLst>
            <a:ext uri="{FF2B5EF4-FFF2-40B4-BE49-F238E27FC236}">
              <a16:creationId xmlns:a16="http://schemas.microsoft.com/office/drawing/2014/main" id="{9A48882A-8FA1-6549-B77A-D67ABBB6D2D4}"/>
            </a:ext>
          </a:extLst>
        </xdr:cNvPr>
        <xdr:cNvSpPr>
          <a:spLocks noChangeShapeType="1"/>
        </xdr:cNvSpPr>
      </xdr:nvSpPr>
      <xdr:spPr bwMode="auto">
        <a:xfrm>
          <a:off x="7150100" y="1790700"/>
          <a:ext cx="0" cy="279400"/>
        </a:xfrm>
        <a:prstGeom prst="line">
          <a:avLst/>
        </a:prstGeom>
        <a:noFill/>
        <a:ln w="9525">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660400</xdr:colOff>
      <xdr:row>44</xdr:row>
      <xdr:rowOff>139700</xdr:rowOff>
    </xdr:from>
    <xdr:to>
      <xdr:col>8</xdr:col>
      <xdr:colOff>660400</xdr:colOff>
      <xdr:row>46</xdr:row>
      <xdr:rowOff>88900</xdr:rowOff>
    </xdr:to>
    <xdr:sp macro="" textlink="">
      <xdr:nvSpPr>
        <xdr:cNvPr id="12695" name="Line 25">
          <a:extLst>
            <a:ext uri="{FF2B5EF4-FFF2-40B4-BE49-F238E27FC236}">
              <a16:creationId xmlns:a16="http://schemas.microsoft.com/office/drawing/2014/main" id="{1B7561EC-4473-3941-9B74-EA2B72350C6B}"/>
            </a:ext>
          </a:extLst>
        </xdr:cNvPr>
        <xdr:cNvSpPr>
          <a:spLocks noChangeShapeType="1"/>
        </xdr:cNvSpPr>
      </xdr:nvSpPr>
      <xdr:spPr bwMode="auto">
        <a:xfrm>
          <a:off x="7213600" y="7594600"/>
          <a:ext cx="0" cy="279400"/>
        </a:xfrm>
        <a:prstGeom prst="line">
          <a:avLst/>
        </a:prstGeom>
        <a:noFill/>
        <a:ln w="9525">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342900</xdr:colOff>
      <xdr:row>9</xdr:row>
      <xdr:rowOff>0</xdr:rowOff>
    </xdr:from>
    <xdr:to>
      <xdr:col>3</xdr:col>
      <xdr:colOff>342900</xdr:colOff>
      <xdr:row>12</xdr:row>
      <xdr:rowOff>101600</xdr:rowOff>
    </xdr:to>
    <xdr:sp macro="" textlink="">
      <xdr:nvSpPr>
        <xdr:cNvPr id="94689" name="AutoShape 2">
          <a:extLst>
            <a:ext uri="{FF2B5EF4-FFF2-40B4-BE49-F238E27FC236}">
              <a16:creationId xmlns:a16="http://schemas.microsoft.com/office/drawing/2014/main" id="{95B0C466-1A35-FD45-870F-B67DD5DA661A}"/>
            </a:ext>
          </a:extLst>
        </xdr:cNvPr>
        <xdr:cNvSpPr>
          <a:spLocks noChangeArrowheads="1"/>
        </xdr:cNvSpPr>
      </xdr:nvSpPr>
      <xdr:spPr bwMode="auto">
        <a:xfrm rot="10800000">
          <a:off x="1689100" y="1600200"/>
          <a:ext cx="673100" cy="596900"/>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3</xdr:col>
      <xdr:colOff>0</xdr:colOff>
      <xdr:row>9</xdr:row>
      <xdr:rowOff>0</xdr:rowOff>
    </xdr:from>
    <xdr:to>
      <xdr:col>3</xdr:col>
      <xdr:colOff>0</xdr:colOff>
      <xdr:row>15</xdr:row>
      <xdr:rowOff>12700</xdr:rowOff>
    </xdr:to>
    <xdr:sp macro="" textlink="">
      <xdr:nvSpPr>
        <xdr:cNvPr id="94690" name="Line 3">
          <a:extLst>
            <a:ext uri="{FF2B5EF4-FFF2-40B4-BE49-F238E27FC236}">
              <a16:creationId xmlns:a16="http://schemas.microsoft.com/office/drawing/2014/main" id="{1FC31B76-A16B-714D-9CF6-49AD4A2A0173}"/>
            </a:ext>
          </a:extLst>
        </xdr:cNvPr>
        <xdr:cNvSpPr>
          <a:spLocks noChangeShapeType="1"/>
        </xdr:cNvSpPr>
      </xdr:nvSpPr>
      <xdr:spPr bwMode="auto">
        <a:xfrm>
          <a:off x="2019300" y="1600200"/>
          <a:ext cx="0" cy="1003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12700</xdr:colOff>
      <xdr:row>15</xdr:row>
      <xdr:rowOff>12700</xdr:rowOff>
    </xdr:from>
    <xdr:to>
      <xdr:col>4</xdr:col>
      <xdr:colOff>0</xdr:colOff>
      <xdr:row>15</xdr:row>
      <xdr:rowOff>12700</xdr:rowOff>
    </xdr:to>
    <xdr:sp macro="" textlink="">
      <xdr:nvSpPr>
        <xdr:cNvPr id="94691" name="Line 4">
          <a:extLst>
            <a:ext uri="{FF2B5EF4-FFF2-40B4-BE49-F238E27FC236}">
              <a16:creationId xmlns:a16="http://schemas.microsoft.com/office/drawing/2014/main" id="{7B114411-3165-0C48-86A3-03B2D9057681}"/>
            </a:ext>
          </a:extLst>
        </xdr:cNvPr>
        <xdr:cNvSpPr>
          <a:spLocks noChangeShapeType="1"/>
        </xdr:cNvSpPr>
      </xdr:nvSpPr>
      <xdr:spPr bwMode="auto">
        <a:xfrm>
          <a:off x="2032000" y="2603500"/>
          <a:ext cx="660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0</xdr:rowOff>
    </xdr:from>
    <xdr:to>
      <xdr:col>5</xdr:col>
      <xdr:colOff>330200</xdr:colOff>
      <xdr:row>17</xdr:row>
      <xdr:rowOff>0</xdr:rowOff>
    </xdr:to>
    <xdr:sp macro="" textlink="">
      <xdr:nvSpPr>
        <xdr:cNvPr id="94692" name="Rectangle 5">
          <a:extLst>
            <a:ext uri="{FF2B5EF4-FFF2-40B4-BE49-F238E27FC236}">
              <a16:creationId xmlns:a16="http://schemas.microsoft.com/office/drawing/2014/main" id="{82A3981E-1D79-F942-9635-A4D6E309AED3}"/>
            </a:ext>
          </a:extLst>
        </xdr:cNvPr>
        <xdr:cNvSpPr>
          <a:spLocks noChangeArrowheads="1"/>
        </xdr:cNvSpPr>
      </xdr:nvSpPr>
      <xdr:spPr bwMode="auto">
        <a:xfrm>
          <a:off x="2692400" y="2260600"/>
          <a:ext cx="1003300" cy="66040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13</xdr:row>
      <xdr:rowOff>0</xdr:rowOff>
    </xdr:from>
    <xdr:to>
      <xdr:col>7</xdr:col>
      <xdr:colOff>330200</xdr:colOff>
      <xdr:row>17</xdr:row>
      <xdr:rowOff>0</xdr:rowOff>
    </xdr:to>
    <xdr:sp macro="" textlink="">
      <xdr:nvSpPr>
        <xdr:cNvPr id="94693" name="Rectangle 6">
          <a:extLst>
            <a:ext uri="{FF2B5EF4-FFF2-40B4-BE49-F238E27FC236}">
              <a16:creationId xmlns:a16="http://schemas.microsoft.com/office/drawing/2014/main" id="{725917A7-9F61-1C4D-96CE-6677D3F5BAD6}"/>
            </a:ext>
          </a:extLst>
        </xdr:cNvPr>
        <xdr:cNvSpPr>
          <a:spLocks noChangeArrowheads="1"/>
        </xdr:cNvSpPr>
      </xdr:nvSpPr>
      <xdr:spPr bwMode="auto">
        <a:xfrm>
          <a:off x="4038600" y="2260600"/>
          <a:ext cx="1003300" cy="66040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12</xdr:row>
      <xdr:rowOff>76200</xdr:rowOff>
    </xdr:from>
    <xdr:to>
      <xdr:col>9</xdr:col>
      <xdr:colOff>257268</xdr:colOff>
      <xdr:row>17</xdr:row>
      <xdr:rowOff>104775</xdr:rowOff>
    </xdr:to>
    <xdr:sp macro="" textlink="">
      <xdr:nvSpPr>
        <xdr:cNvPr id="13319" name="AutoShape 7">
          <a:extLst>
            <a:ext uri="{FF2B5EF4-FFF2-40B4-BE49-F238E27FC236}">
              <a16:creationId xmlns:a16="http://schemas.microsoft.com/office/drawing/2014/main" id="{17C5D378-AB8B-5741-A196-AFF043D8E9E5}"/>
            </a:ext>
          </a:extLst>
        </xdr:cNvPr>
        <xdr:cNvSpPr>
          <a:spLocks noChangeArrowheads="1"/>
        </xdr:cNvSpPr>
      </xdr:nvSpPr>
      <xdr:spPr bwMode="auto">
        <a:xfrm rot="5400000">
          <a:off x="5038725" y="1971675"/>
          <a:ext cx="838200" cy="1162050"/>
        </a:xfrm>
        <a:prstGeom prst="triangle">
          <a:avLst>
            <a:gd name="adj" fmla="val 50000"/>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endParaRPr lang="en-US" sz="1000" b="0" i="0" strike="noStrike">
            <a:solidFill>
              <a:srgbClr val="000000"/>
            </a:solidFill>
            <a:latin typeface="Arial"/>
            <a:cs typeface="Arial"/>
          </a:endParaRPr>
        </a:p>
        <a:p>
          <a:pPr algn="l" rtl="1">
            <a:defRPr sz="1000"/>
          </a:pPr>
          <a:endParaRPr lang="en-US" sz="1000" b="0" i="0" strike="noStrike">
            <a:solidFill>
              <a:srgbClr val="000000"/>
            </a:solidFill>
            <a:latin typeface="Arial"/>
            <a:cs typeface="Arial"/>
          </a:endParaRPr>
        </a:p>
      </xdr:txBody>
    </xdr:sp>
    <xdr:clientData/>
  </xdr:twoCellAnchor>
  <xdr:twoCellAnchor>
    <xdr:from>
      <xdr:col>5</xdr:col>
      <xdr:colOff>330200</xdr:colOff>
      <xdr:row>15</xdr:row>
      <xdr:rowOff>0</xdr:rowOff>
    </xdr:from>
    <xdr:to>
      <xdr:col>6</xdr:col>
      <xdr:colOff>0</xdr:colOff>
      <xdr:row>15</xdr:row>
      <xdr:rowOff>0</xdr:rowOff>
    </xdr:to>
    <xdr:sp macro="" textlink="">
      <xdr:nvSpPr>
        <xdr:cNvPr id="94695" name="Line 8">
          <a:extLst>
            <a:ext uri="{FF2B5EF4-FFF2-40B4-BE49-F238E27FC236}">
              <a16:creationId xmlns:a16="http://schemas.microsoft.com/office/drawing/2014/main" id="{E4E4DD95-75E5-E340-82B6-F3377DB3AF7B}"/>
            </a:ext>
          </a:extLst>
        </xdr:cNvPr>
        <xdr:cNvSpPr>
          <a:spLocks noChangeShapeType="1"/>
        </xdr:cNvSpPr>
      </xdr:nvSpPr>
      <xdr:spPr bwMode="auto">
        <a:xfrm>
          <a:off x="3695700" y="2590800"/>
          <a:ext cx="342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330200</xdr:colOff>
      <xdr:row>15</xdr:row>
      <xdr:rowOff>0</xdr:rowOff>
    </xdr:from>
    <xdr:to>
      <xdr:col>7</xdr:col>
      <xdr:colOff>673100</xdr:colOff>
      <xdr:row>15</xdr:row>
      <xdr:rowOff>0</xdr:rowOff>
    </xdr:to>
    <xdr:sp macro="" textlink="">
      <xdr:nvSpPr>
        <xdr:cNvPr id="94696" name="Line 9">
          <a:extLst>
            <a:ext uri="{FF2B5EF4-FFF2-40B4-BE49-F238E27FC236}">
              <a16:creationId xmlns:a16="http://schemas.microsoft.com/office/drawing/2014/main" id="{2EC83EF4-4F9E-C44B-812A-DAA5F5F9FCF1}"/>
            </a:ext>
          </a:extLst>
        </xdr:cNvPr>
        <xdr:cNvSpPr>
          <a:spLocks noChangeShapeType="1"/>
        </xdr:cNvSpPr>
      </xdr:nvSpPr>
      <xdr:spPr bwMode="auto">
        <a:xfrm>
          <a:off x="5041900" y="2590800"/>
          <a:ext cx="342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241300</xdr:colOff>
      <xdr:row>15</xdr:row>
      <xdr:rowOff>0</xdr:rowOff>
    </xdr:from>
    <xdr:to>
      <xdr:col>10</xdr:col>
      <xdr:colOff>0</xdr:colOff>
      <xdr:row>15</xdr:row>
      <xdr:rowOff>0</xdr:rowOff>
    </xdr:to>
    <xdr:sp macro="" textlink="">
      <xdr:nvSpPr>
        <xdr:cNvPr id="94697" name="Line 10">
          <a:extLst>
            <a:ext uri="{FF2B5EF4-FFF2-40B4-BE49-F238E27FC236}">
              <a16:creationId xmlns:a16="http://schemas.microsoft.com/office/drawing/2014/main" id="{C72E5472-7FAA-3E46-AB8C-03B95465D614}"/>
            </a:ext>
          </a:extLst>
        </xdr:cNvPr>
        <xdr:cNvSpPr>
          <a:spLocks noChangeShapeType="1"/>
        </xdr:cNvSpPr>
      </xdr:nvSpPr>
      <xdr:spPr bwMode="auto">
        <a:xfrm>
          <a:off x="6705600" y="2590800"/>
          <a:ext cx="520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342900</xdr:colOff>
      <xdr:row>14</xdr:row>
      <xdr:rowOff>139700</xdr:rowOff>
    </xdr:from>
    <xdr:to>
      <xdr:col>11</xdr:col>
      <xdr:colOff>419100</xdr:colOff>
      <xdr:row>15</xdr:row>
      <xdr:rowOff>50800</xdr:rowOff>
    </xdr:to>
    <xdr:sp macro="" textlink="">
      <xdr:nvSpPr>
        <xdr:cNvPr id="94698" name="Oval 11">
          <a:extLst>
            <a:ext uri="{FF2B5EF4-FFF2-40B4-BE49-F238E27FC236}">
              <a16:creationId xmlns:a16="http://schemas.microsoft.com/office/drawing/2014/main" id="{D11C2EC3-85C6-6F44-9F7D-35C4D3AA1609}"/>
            </a:ext>
          </a:extLst>
        </xdr:cNvPr>
        <xdr:cNvSpPr>
          <a:spLocks noChangeArrowheads="1"/>
        </xdr:cNvSpPr>
      </xdr:nvSpPr>
      <xdr:spPr bwMode="auto">
        <a:xfrm>
          <a:off x="8242300" y="2565400"/>
          <a:ext cx="76200" cy="76200"/>
        </a:xfrm>
        <a:prstGeom prst="ellipse">
          <a:avLst/>
        </a:prstGeom>
        <a:solidFill>
          <a:srgbClr val="FFFFFF"/>
        </a:solidFill>
        <a:ln w="9525">
          <a:solidFill>
            <a:srgbClr val="000000"/>
          </a:solidFill>
          <a:round/>
          <a:headEnd/>
          <a:tailEnd/>
        </a:ln>
      </xdr:spPr>
    </xdr:sp>
    <xdr:clientData/>
  </xdr:twoCellAnchor>
  <xdr:oneCellAnchor>
    <xdr:from>
      <xdr:col>8</xdr:col>
      <xdr:colOff>79375</xdr:colOff>
      <xdr:row>14</xdr:row>
      <xdr:rowOff>85725</xdr:rowOff>
    </xdr:from>
    <xdr:ext cx="318783" cy="170560"/>
    <xdr:sp macro="" textlink="">
      <xdr:nvSpPr>
        <xdr:cNvPr id="13325" name="Text Box 13">
          <a:extLst>
            <a:ext uri="{FF2B5EF4-FFF2-40B4-BE49-F238E27FC236}">
              <a16:creationId xmlns:a16="http://schemas.microsoft.com/office/drawing/2014/main" id="{E1411E57-911F-774F-BFF5-B11B1E08E59D}"/>
            </a:ext>
          </a:extLst>
        </xdr:cNvPr>
        <xdr:cNvSpPr txBox="1">
          <a:spLocks noChangeArrowheads="1"/>
        </xdr:cNvSpPr>
      </xdr:nvSpPr>
      <xdr:spPr bwMode="auto">
        <a:xfrm>
          <a:off x="4943475" y="2466975"/>
          <a:ext cx="282000"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LNA</a:t>
          </a:r>
        </a:p>
      </xdr:txBody>
    </xdr:sp>
    <xdr:clientData/>
  </xdr:oneCellAnchor>
  <xdr:oneCellAnchor>
    <xdr:from>
      <xdr:col>6</xdr:col>
      <xdr:colOff>89656</xdr:colOff>
      <xdr:row>13</xdr:row>
      <xdr:rowOff>142875</xdr:rowOff>
    </xdr:from>
    <xdr:ext cx="661194" cy="318036"/>
    <xdr:sp macro="" textlink="">
      <xdr:nvSpPr>
        <xdr:cNvPr id="13326" name="Text Box 14">
          <a:extLst>
            <a:ext uri="{FF2B5EF4-FFF2-40B4-BE49-F238E27FC236}">
              <a16:creationId xmlns:a16="http://schemas.microsoft.com/office/drawing/2014/main" id="{64655AE7-6099-9245-B241-585EBB6CA008}"/>
            </a:ext>
          </a:extLst>
        </xdr:cNvPr>
        <xdr:cNvSpPr txBox="1">
          <a:spLocks noChangeArrowheads="1"/>
        </xdr:cNvSpPr>
      </xdr:nvSpPr>
      <xdr:spPr bwMode="auto">
        <a:xfrm>
          <a:off x="3747256" y="2362200"/>
          <a:ext cx="649794" cy="318036"/>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Bandpass</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Filter</a:t>
          </a:r>
        </a:p>
      </xdr:txBody>
    </xdr:sp>
    <xdr:clientData/>
  </xdr:oneCellAnchor>
  <xdr:oneCellAnchor>
    <xdr:from>
      <xdr:col>4</xdr:col>
      <xdr:colOff>212673</xdr:colOff>
      <xdr:row>13</xdr:row>
      <xdr:rowOff>66675</xdr:rowOff>
    </xdr:from>
    <xdr:ext cx="457305" cy="465512"/>
    <xdr:sp macro="" textlink="">
      <xdr:nvSpPr>
        <xdr:cNvPr id="13327" name="Text Box 15">
          <a:extLst>
            <a:ext uri="{FF2B5EF4-FFF2-40B4-BE49-F238E27FC236}">
              <a16:creationId xmlns:a16="http://schemas.microsoft.com/office/drawing/2014/main" id="{1442BFD0-03C2-7C42-9574-76786F50FC6D}"/>
            </a:ext>
          </a:extLst>
        </xdr:cNvPr>
        <xdr:cNvSpPr txBox="1">
          <a:spLocks noChangeArrowheads="1"/>
        </xdr:cNvSpPr>
      </xdr:nvSpPr>
      <xdr:spPr bwMode="auto">
        <a:xfrm>
          <a:off x="2905073" y="2327275"/>
          <a:ext cx="457305" cy="465512"/>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Other</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In-Line</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Device</a:t>
          </a:r>
        </a:p>
      </xdr:txBody>
    </xdr:sp>
    <xdr:clientData/>
  </xdr:oneCellAnchor>
  <xdr:twoCellAnchor>
    <xdr:from>
      <xdr:col>10</xdr:col>
      <xdr:colOff>0</xdr:colOff>
      <xdr:row>13</xdr:row>
      <xdr:rowOff>25400</xdr:rowOff>
    </xdr:from>
    <xdr:to>
      <xdr:col>10</xdr:col>
      <xdr:colOff>635000</xdr:colOff>
      <xdr:row>16</xdr:row>
      <xdr:rowOff>139700</xdr:rowOff>
    </xdr:to>
    <xdr:sp macro="" textlink="">
      <xdr:nvSpPr>
        <xdr:cNvPr id="94702" name="AutoShape 16">
          <a:extLst>
            <a:ext uri="{FF2B5EF4-FFF2-40B4-BE49-F238E27FC236}">
              <a16:creationId xmlns:a16="http://schemas.microsoft.com/office/drawing/2014/main" id="{AD9E80BC-70F3-664C-AEA5-959C152AA0CB}"/>
            </a:ext>
          </a:extLst>
        </xdr:cNvPr>
        <xdr:cNvSpPr>
          <a:spLocks noChangeArrowheads="1"/>
        </xdr:cNvSpPr>
      </xdr:nvSpPr>
      <xdr:spPr bwMode="auto">
        <a:xfrm rot="5400000">
          <a:off x="7239000" y="2273300"/>
          <a:ext cx="609600" cy="635000"/>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10</xdr:col>
      <xdr:colOff>647700</xdr:colOff>
      <xdr:row>15</xdr:row>
      <xdr:rowOff>0</xdr:rowOff>
    </xdr:from>
    <xdr:to>
      <xdr:col>11</xdr:col>
      <xdr:colOff>330200</xdr:colOff>
      <xdr:row>15</xdr:row>
      <xdr:rowOff>0</xdr:rowOff>
    </xdr:to>
    <xdr:sp macro="" textlink="">
      <xdr:nvSpPr>
        <xdr:cNvPr id="94703" name="Line 17">
          <a:extLst>
            <a:ext uri="{FF2B5EF4-FFF2-40B4-BE49-F238E27FC236}">
              <a16:creationId xmlns:a16="http://schemas.microsoft.com/office/drawing/2014/main" id="{9D05687E-E74F-404B-81ED-7CF8AF3BA323}"/>
            </a:ext>
          </a:extLst>
        </xdr:cNvPr>
        <xdr:cNvSpPr>
          <a:spLocks noChangeShapeType="1"/>
        </xdr:cNvSpPr>
      </xdr:nvSpPr>
      <xdr:spPr bwMode="auto">
        <a:xfrm>
          <a:off x="7874000" y="2590800"/>
          <a:ext cx="355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12700</xdr:colOff>
      <xdr:row>9</xdr:row>
      <xdr:rowOff>0</xdr:rowOff>
    </xdr:from>
    <xdr:to>
      <xdr:col>8</xdr:col>
      <xdr:colOff>12700</xdr:colOff>
      <xdr:row>12</xdr:row>
      <xdr:rowOff>63500</xdr:rowOff>
    </xdr:to>
    <xdr:sp macro="" textlink="">
      <xdr:nvSpPr>
        <xdr:cNvPr id="94704" name="Line 18">
          <a:extLst>
            <a:ext uri="{FF2B5EF4-FFF2-40B4-BE49-F238E27FC236}">
              <a16:creationId xmlns:a16="http://schemas.microsoft.com/office/drawing/2014/main" id="{44AA9CC9-A863-BE4B-9C5A-4DBEFFF8221C}"/>
            </a:ext>
          </a:extLst>
        </xdr:cNvPr>
        <xdr:cNvSpPr>
          <a:spLocks noChangeShapeType="1"/>
        </xdr:cNvSpPr>
      </xdr:nvSpPr>
      <xdr:spPr bwMode="auto">
        <a:xfrm>
          <a:off x="5397500" y="1600200"/>
          <a:ext cx="0" cy="5588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660400</xdr:colOff>
      <xdr:row>17</xdr:row>
      <xdr:rowOff>127000</xdr:rowOff>
    </xdr:from>
    <xdr:to>
      <xdr:col>7</xdr:col>
      <xdr:colOff>660400</xdr:colOff>
      <xdr:row>21</xdr:row>
      <xdr:rowOff>25400</xdr:rowOff>
    </xdr:to>
    <xdr:sp macro="" textlink="">
      <xdr:nvSpPr>
        <xdr:cNvPr id="94705" name="Line 19">
          <a:extLst>
            <a:ext uri="{FF2B5EF4-FFF2-40B4-BE49-F238E27FC236}">
              <a16:creationId xmlns:a16="http://schemas.microsoft.com/office/drawing/2014/main" id="{6A5C6FB5-25E4-8045-8044-3D13BBE23D7E}"/>
            </a:ext>
          </a:extLst>
        </xdr:cNvPr>
        <xdr:cNvSpPr>
          <a:spLocks noChangeShapeType="1"/>
        </xdr:cNvSpPr>
      </xdr:nvSpPr>
      <xdr:spPr bwMode="auto">
        <a:xfrm>
          <a:off x="5372100" y="3048000"/>
          <a:ext cx="0" cy="5588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9</xdr:row>
      <xdr:rowOff>127000</xdr:rowOff>
    </xdr:from>
    <xdr:to>
      <xdr:col>10</xdr:col>
      <xdr:colOff>0</xdr:colOff>
      <xdr:row>13</xdr:row>
      <xdr:rowOff>25400</xdr:rowOff>
    </xdr:to>
    <xdr:sp macro="" textlink="">
      <xdr:nvSpPr>
        <xdr:cNvPr id="94706" name="Line 20">
          <a:extLst>
            <a:ext uri="{FF2B5EF4-FFF2-40B4-BE49-F238E27FC236}">
              <a16:creationId xmlns:a16="http://schemas.microsoft.com/office/drawing/2014/main" id="{592CDBAE-B2F4-CE4A-B2F6-912AE838F51F}"/>
            </a:ext>
          </a:extLst>
        </xdr:cNvPr>
        <xdr:cNvSpPr>
          <a:spLocks noChangeShapeType="1"/>
        </xdr:cNvSpPr>
      </xdr:nvSpPr>
      <xdr:spPr bwMode="auto">
        <a:xfrm>
          <a:off x="7226300" y="1727200"/>
          <a:ext cx="0" cy="5588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16</xdr:row>
      <xdr:rowOff>152400</xdr:rowOff>
    </xdr:from>
    <xdr:to>
      <xdr:col>10</xdr:col>
      <xdr:colOff>0</xdr:colOff>
      <xdr:row>20</xdr:row>
      <xdr:rowOff>50800</xdr:rowOff>
    </xdr:to>
    <xdr:sp macro="" textlink="">
      <xdr:nvSpPr>
        <xdr:cNvPr id="94707" name="Line 22">
          <a:extLst>
            <a:ext uri="{FF2B5EF4-FFF2-40B4-BE49-F238E27FC236}">
              <a16:creationId xmlns:a16="http://schemas.microsoft.com/office/drawing/2014/main" id="{B3D7D092-7157-1D44-B261-F21599923AFD}"/>
            </a:ext>
          </a:extLst>
        </xdr:cNvPr>
        <xdr:cNvSpPr>
          <a:spLocks noChangeShapeType="1"/>
        </xdr:cNvSpPr>
      </xdr:nvSpPr>
      <xdr:spPr bwMode="auto">
        <a:xfrm>
          <a:off x="7226300" y="2908300"/>
          <a:ext cx="0" cy="5588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19050</xdr:colOff>
      <xdr:row>14</xdr:row>
      <xdr:rowOff>0</xdr:rowOff>
    </xdr:from>
    <xdr:to>
      <xdr:col>10</xdr:col>
      <xdr:colOff>428953</xdr:colOff>
      <xdr:row>16</xdr:row>
      <xdr:rowOff>38100</xdr:rowOff>
    </xdr:to>
    <xdr:sp macro="" textlink="">
      <xdr:nvSpPr>
        <xdr:cNvPr id="13335" name="Text Box 23">
          <a:extLst>
            <a:ext uri="{FF2B5EF4-FFF2-40B4-BE49-F238E27FC236}">
              <a16:creationId xmlns:a16="http://schemas.microsoft.com/office/drawing/2014/main" id="{697018F3-7BB4-B744-B6BE-E1B973BE451B}"/>
            </a:ext>
          </a:extLst>
        </xdr:cNvPr>
        <xdr:cNvSpPr txBox="1">
          <a:spLocks noChangeArrowheads="1"/>
        </xdr:cNvSpPr>
      </xdr:nvSpPr>
      <xdr:spPr bwMode="auto">
        <a:xfrm>
          <a:off x="6505575" y="2381250"/>
          <a:ext cx="371475" cy="36195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800" b="1" i="0" strike="noStrike">
              <a:solidFill>
                <a:srgbClr val="000000"/>
              </a:solidFill>
              <a:latin typeface="Arial"/>
              <a:cs typeface="Arial"/>
            </a:rPr>
            <a:t>2nd</a:t>
          </a:r>
          <a:endParaRPr lang="en-US" sz="800" b="0" i="0" strike="noStrike">
            <a:solidFill>
              <a:srgbClr val="000000"/>
            </a:solidFill>
            <a:latin typeface="Arial"/>
            <a:cs typeface="Arial"/>
          </a:endParaRPr>
        </a:p>
        <a:p>
          <a:pPr algn="l" rtl="1">
            <a:defRPr sz="1000"/>
          </a:pPr>
          <a:r>
            <a:rPr lang="en-US" sz="800" b="1" i="0" strike="noStrike">
              <a:solidFill>
                <a:srgbClr val="000000"/>
              </a:solidFill>
              <a:latin typeface="Arial"/>
              <a:cs typeface="Arial"/>
            </a:rPr>
            <a:t>Stage</a:t>
          </a:r>
        </a:p>
      </xdr:txBody>
    </xdr:sp>
    <xdr:clientData/>
  </xdr:twoCellAnchor>
  <xdr:twoCellAnchor editAs="oneCell">
    <xdr:from>
      <xdr:col>6</xdr:col>
      <xdr:colOff>368300</xdr:colOff>
      <xdr:row>18</xdr:row>
      <xdr:rowOff>0</xdr:rowOff>
    </xdr:from>
    <xdr:to>
      <xdr:col>6</xdr:col>
      <xdr:colOff>457200</xdr:colOff>
      <xdr:row>19</xdr:row>
      <xdr:rowOff>25400</xdr:rowOff>
    </xdr:to>
    <xdr:sp macro="" textlink="">
      <xdr:nvSpPr>
        <xdr:cNvPr id="94709" name="Text Box 24">
          <a:extLst>
            <a:ext uri="{FF2B5EF4-FFF2-40B4-BE49-F238E27FC236}">
              <a16:creationId xmlns:a16="http://schemas.microsoft.com/office/drawing/2014/main" id="{E1D64205-F8AF-4349-8BCC-FF101BC38812}"/>
            </a:ext>
          </a:extLst>
        </xdr:cNvPr>
        <xdr:cNvSpPr txBox="1">
          <a:spLocks noChangeArrowheads="1"/>
        </xdr:cNvSpPr>
      </xdr:nvSpPr>
      <xdr:spPr bwMode="auto">
        <a:xfrm>
          <a:off x="4406900" y="3086100"/>
          <a:ext cx="88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282575</xdr:colOff>
      <xdr:row>17</xdr:row>
      <xdr:rowOff>9525</xdr:rowOff>
    </xdr:from>
    <xdr:ext cx="314398" cy="170560"/>
    <xdr:sp macro="" textlink="">
      <xdr:nvSpPr>
        <xdr:cNvPr id="13337" name="Text Box 25">
          <a:extLst>
            <a:ext uri="{FF2B5EF4-FFF2-40B4-BE49-F238E27FC236}">
              <a16:creationId xmlns:a16="http://schemas.microsoft.com/office/drawing/2014/main" id="{24FDAD7F-A55A-0A41-BFF7-DC3CDEDB2D73}"/>
            </a:ext>
          </a:extLst>
        </xdr:cNvPr>
        <xdr:cNvSpPr txBox="1">
          <a:spLocks noChangeArrowheads="1"/>
        </xdr:cNvSpPr>
      </xdr:nvSpPr>
      <xdr:spPr bwMode="auto">
        <a:xfrm>
          <a:off x="3914775" y="2876550"/>
          <a:ext cx="289246"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a:t>
          </a:r>
          <a:r>
            <a:rPr lang="en-US" sz="800" b="0" i="0" strike="noStrike">
              <a:solidFill>
                <a:srgbClr val="000000"/>
              </a:solidFill>
              <a:latin typeface="Arial"/>
              <a:cs typeface="Arial"/>
            </a:rPr>
            <a:t>BPF</a:t>
          </a:r>
        </a:p>
      </xdr:txBody>
    </xdr:sp>
    <xdr:clientData/>
  </xdr:oneCellAnchor>
  <xdr:twoCellAnchor>
    <xdr:from>
      <xdr:col>6</xdr:col>
      <xdr:colOff>0</xdr:colOff>
      <xdr:row>17</xdr:row>
      <xdr:rowOff>88900</xdr:rowOff>
    </xdr:from>
    <xdr:to>
      <xdr:col>6</xdr:col>
      <xdr:colOff>279400</xdr:colOff>
      <xdr:row>17</xdr:row>
      <xdr:rowOff>88900</xdr:rowOff>
    </xdr:to>
    <xdr:sp macro="" textlink="">
      <xdr:nvSpPr>
        <xdr:cNvPr id="94711" name="Line 26">
          <a:extLst>
            <a:ext uri="{FF2B5EF4-FFF2-40B4-BE49-F238E27FC236}">
              <a16:creationId xmlns:a16="http://schemas.microsoft.com/office/drawing/2014/main" id="{B3A0C941-A6BD-BA4D-8E89-78FB37238C35}"/>
            </a:ext>
          </a:extLst>
        </xdr:cNvPr>
        <xdr:cNvSpPr>
          <a:spLocks noChangeShapeType="1"/>
        </xdr:cNvSpPr>
      </xdr:nvSpPr>
      <xdr:spPr bwMode="auto">
        <a:xfrm flipH="1">
          <a:off x="4038600" y="3009900"/>
          <a:ext cx="279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12700</xdr:colOff>
      <xdr:row>17</xdr:row>
      <xdr:rowOff>88900</xdr:rowOff>
    </xdr:from>
    <xdr:to>
      <xdr:col>7</xdr:col>
      <xdr:colOff>304800</xdr:colOff>
      <xdr:row>17</xdr:row>
      <xdr:rowOff>88900</xdr:rowOff>
    </xdr:to>
    <xdr:sp macro="" textlink="">
      <xdr:nvSpPr>
        <xdr:cNvPr id="94712" name="Line 27">
          <a:extLst>
            <a:ext uri="{FF2B5EF4-FFF2-40B4-BE49-F238E27FC236}">
              <a16:creationId xmlns:a16="http://schemas.microsoft.com/office/drawing/2014/main" id="{312DDC0F-D29F-E84E-B80A-4756855CD4A2}"/>
            </a:ext>
          </a:extLst>
        </xdr:cNvPr>
        <xdr:cNvSpPr>
          <a:spLocks noChangeShapeType="1"/>
        </xdr:cNvSpPr>
      </xdr:nvSpPr>
      <xdr:spPr bwMode="auto">
        <a:xfrm>
          <a:off x="4724400" y="3009900"/>
          <a:ext cx="292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660400</xdr:colOff>
      <xdr:row>17</xdr:row>
      <xdr:rowOff>101600</xdr:rowOff>
    </xdr:from>
    <xdr:to>
      <xdr:col>4</xdr:col>
      <xdr:colOff>266700</xdr:colOff>
      <xdr:row>17</xdr:row>
      <xdr:rowOff>101600</xdr:rowOff>
    </xdr:to>
    <xdr:sp macro="" textlink="">
      <xdr:nvSpPr>
        <xdr:cNvPr id="94713" name="Line 28">
          <a:extLst>
            <a:ext uri="{FF2B5EF4-FFF2-40B4-BE49-F238E27FC236}">
              <a16:creationId xmlns:a16="http://schemas.microsoft.com/office/drawing/2014/main" id="{76C61ABE-227B-4D4B-B33E-9DD137E2A2F5}"/>
            </a:ext>
          </a:extLst>
        </xdr:cNvPr>
        <xdr:cNvSpPr>
          <a:spLocks noChangeShapeType="1"/>
        </xdr:cNvSpPr>
      </xdr:nvSpPr>
      <xdr:spPr bwMode="auto">
        <a:xfrm flipH="1">
          <a:off x="2679700" y="3022600"/>
          <a:ext cx="279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25400</xdr:colOff>
      <xdr:row>17</xdr:row>
      <xdr:rowOff>88900</xdr:rowOff>
    </xdr:from>
    <xdr:to>
      <xdr:col>5</xdr:col>
      <xdr:colOff>317500</xdr:colOff>
      <xdr:row>17</xdr:row>
      <xdr:rowOff>88900</xdr:rowOff>
    </xdr:to>
    <xdr:sp macro="" textlink="">
      <xdr:nvSpPr>
        <xdr:cNvPr id="94714" name="Line 29">
          <a:extLst>
            <a:ext uri="{FF2B5EF4-FFF2-40B4-BE49-F238E27FC236}">
              <a16:creationId xmlns:a16="http://schemas.microsoft.com/office/drawing/2014/main" id="{D02D1377-4F1E-2E4E-933D-CFE5D4281D68}"/>
            </a:ext>
          </a:extLst>
        </xdr:cNvPr>
        <xdr:cNvSpPr>
          <a:spLocks noChangeShapeType="1"/>
        </xdr:cNvSpPr>
      </xdr:nvSpPr>
      <xdr:spPr bwMode="auto">
        <a:xfrm>
          <a:off x="3390900" y="3009900"/>
          <a:ext cx="292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xdr:col>
      <xdr:colOff>282575</xdr:colOff>
      <xdr:row>17</xdr:row>
      <xdr:rowOff>9525</xdr:rowOff>
    </xdr:from>
    <xdr:ext cx="361025" cy="170560"/>
    <xdr:sp macro="" textlink="">
      <xdr:nvSpPr>
        <xdr:cNvPr id="13342" name="Text Box 30">
          <a:extLst>
            <a:ext uri="{FF2B5EF4-FFF2-40B4-BE49-F238E27FC236}">
              <a16:creationId xmlns:a16="http://schemas.microsoft.com/office/drawing/2014/main" id="{9C1BE33B-E35B-2B45-8DFC-D9458019DFD1}"/>
            </a:ext>
          </a:extLst>
        </xdr:cNvPr>
        <xdr:cNvSpPr txBox="1">
          <a:spLocks noChangeArrowheads="1"/>
        </xdr:cNvSpPr>
      </xdr:nvSpPr>
      <xdr:spPr bwMode="auto">
        <a:xfrm>
          <a:off x="2695575" y="2876550"/>
          <a:ext cx="32367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a:t>
          </a:r>
          <a:r>
            <a:rPr lang="en-US" sz="800" b="0" i="0" strike="noStrike">
              <a:solidFill>
                <a:srgbClr val="000000"/>
              </a:solidFill>
              <a:latin typeface="Arial"/>
              <a:cs typeface="Arial"/>
            </a:rPr>
            <a:t>other</a:t>
          </a:r>
        </a:p>
      </xdr:txBody>
    </xdr:sp>
    <xdr:clientData/>
  </xdr:oneCellAnchor>
  <xdr:twoCellAnchor>
    <xdr:from>
      <xdr:col>17</xdr:col>
      <xdr:colOff>330200</xdr:colOff>
      <xdr:row>63</xdr:row>
      <xdr:rowOff>50800</xdr:rowOff>
    </xdr:from>
    <xdr:to>
      <xdr:col>17</xdr:col>
      <xdr:colOff>330200</xdr:colOff>
      <xdr:row>65</xdr:row>
      <xdr:rowOff>38100</xdr:rowOff>
    </xdr:to>
    <xdr:sp macro="" textlink="">
      <xdr:nvSpPr>
        <xdr:cNvPr id="94716" name="Line 35">
          <a:extLst>
            <a:ext uri="{FF2B5EF4-FFF2-40B4-BE49-F238E27FC236}">
              <a16:creationId xmlns:a16="http://schemas.microsoft.com/office/drawing/2014/main" id="{558E37F9-BFEF-CD48-ACDE-81F20C723FA4}"/>
            </a:ext>
          </a:extLst>
        </xdr:cNvPr>
        <xdr:cNvSpPr>
          <a:spLocks noChangeShapeType="1"/>
        </xdr:cNvSpPr>
      </xdr:nvSpPr>
      <xdr:spPr bwMode="auto">
        <a:xfrm flipV="1">
          <a:off x="12268200" y="10566400"/>
          <a:ext cx="0" cy="317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330200</xdr:colOff>
      <xdr:row>59</xdr:row>
      <xdr:rowOff>88900</xdr:rowOff>
    </xdr:from>
    <xdr:to>
      <xdr:col>17</xdr:col>
      <xdr:colOff>330200</xdr:colOff>
      <xdr:row>61</xdr:row>
      <xdr:rowOff>76200</xdr:rowOff>
    </xdr:to>
    <xdr:sp macro="" textlink="">
      <xdr:nvSpPr>
        <xdr:cNvPr id="94717" name="Line 36">
          <a:extLst>
            <a:ext uri="{FF2B5EF4-FFF2-40B4-BE49-F238E27FC236}">
              <a16:creationId xmlns:a16="http://schemas.microsoft.com/office/drawing/2014/main" id="{3BCEAA34-D0F6-F042-972C-13C851721F59}"/>
            </a:ext>
          </a:extLst>
        </xdr:cNvPr>
        <xdr:cNvSpPr>
          <a:spLocks noChangeShapeType="1"/>
        </xdr:cNvSpPr>
      </xdr:nvSpPr>
      <xdr:spPr bwMode="auto">
        <a:xfrm flipV="1">
          <a:off x="12268200" y="9944100"/>
          <a:ext cx="0" cy="317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342900</xdr:colOff>
      <xdr:row>63</xdr:row>
      <xdr:rowOff>50800</xdr:rowOff>
    </xdr:from>
    <xdr:to>
      <xdr:col>20</xdr:col>
      <xdr:colOff>342900</xdr:colOff>
      <xdr:row>65</xdr:row>
      <xdr:rowOff>38100</xdr:rowOff>
    </xdr:to>
    <xdr:sp macro="" textlink="">
      <xdr:nvSpPr>
        <xdr:cNvPr id="94718" name="Line 37">
          <a:extLst>
            <a:ext uri="{FF2B5EF4-FFF2-40B4-BE49-F238E27FC236}">
              <a16:creationId xmlns:a16="http://schemas.microsoft.com/office/drawing/2014/main" id="{F384A703-4572-A544-AD14-2B14D8E5F694}"/>
            </a:ext>
          </a:extLst>
        </xdr:cNvPr>
        <xdr:cNvSpPr>
          <a:spLocks noChangeShapeType="1"/>
        </xdr:cNvSpPr>
      </xdr:nvSpPr>
      <xdr:spPr bwMode="auto">
        <a:xfrm flipV="1">
          <a:off x="14300200" y="10566400"/>
          <a:ext cx="0" cy="317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342900</xdr:colOff>
      <xdr:row>59</xdr:row>
      <xdr:rowOff>88900</xdr:rowOff>
    </xdr:from>
    <xdr:to>
      <xdr:col>20</xdr:col>
      <xdr:colOff>342900</xdr:colOff>
      <xdr:row>61</xdr:row>
      <xdr:rowOff>76200</xdr:rowOff>
    </xdr:to>
    <xdr:sp macro="" textlink="">
      <xdr:nvSpPr>
        <xdr:cNvPr id="94719" name="Line 38">
          <a:extLst>
            <a:ext uri="{FF2B5EF4-FFF2-40B4-BE49-F238E27FC236}">
              <a16:creationId xmlns:a16="http://schemas.microsoft.com/office/drawing/2014/main" id="{07B9EDFC-A7C0-D847-B636-CC0204C108A0}"/>
            </a:ext>
          </a:extLst>
        </xdr:cNvPr>
        <xdr:cNvSpPr>
          <a:spLocks noChangeShapeType="1"/>
        </xdr:cNvSpPr>
      </xdr:nvSpPr>
      <xdr:spPr bwMode="auto">
        <a:xfrm flipV="1">
          <a:off x="14300200" y="9944100"/>
          <a:ext cx="0" cy="317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152400</xdr:colOff>
      <xdr:row>51</xdr:row>
      <xdr:rowOff>12700</xdr:rowOff>
    </xdr:from>
    <xdr:to>
      <xdr:col>13</xdr:col>
      <xdr:colOff>622300</xdr:colOff>
      <xdr:row>68</xdr:row>
      <xdr:rowOff>139700</xdr:rowOff>
    </xdr:to>
    <xdr:sp macro="" textlink="">
      <xdr:nvSpPr>
        <xdr:cNvPr id="94720" name="AutoShape 39">
          <a:extLst>
            <a:ext uri="{FF2B5EF4-FFF2-40B4-BE49-F238E27FC236}">
              <a16:creationId xmlns:a16="http://schemas.microsoft.com/office/drawing/2014/main" id="{E6806033-C278-6142-9602-98B3D674EDC9}"/>
            </a:ext>
          </a:extLst>
        </xdr:cNvPr>
        <xdr:cNvSpPr>
          <a:spLocks/>
        </xdr:cNvSpPr>
      </xdr:nvSpPr>
      <xdr:spPr bwMode="auto">
        <a:xfrm>
          <a:off x="9398000" y="8547100"/>
          <a:ext cx="469900" cy="2933700"/>
        </a:xfrm>
        <a:prstGeom prst="leftBrace">
          <a:avLst>
            <a:gd name="adj1" fmla="val 97175"/>
            <a:gd name="adj2" fmla="val 546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342900</xdr:colOff>
      <xdr:row>80</xdr:row>
      <xdr:rowOff>0</xdr:rowOff>
    </xdr:from>
    <xdr:to>
      <xdr:col>3</xdr:col>
      <xdr:colOff>342900</xdr:colOff>
      <xdr:row>83</xdr:row>
      <xdr:rowOff>101600</xdr:rowOff>
    </xdr:to>
    <xdr:sp macro="" textlink="">
      <xdr:nvSpPr>
        <xdr:cNvPr id="94721" name="AutoShape 40">
          <a:extLst>
            <a:ext uri="{FF2B5EF4-FFF2-40B4-BE49-F238E27FC236}">
              <a16:creationId xmlns:a16="http://schemas.microsoft.com/office/drawing/2014/main" id="{A4206A88-1EE6-3246-AA3C-C99076E41141}"/>
            </a:ext>
          </a:extLst>
        </xdr:cNvPr>
        <xdr:cNvSpPr>
          <a:spLocks noChangeArrowheads="1"/>
        </xdr:cNvSpPr>
      </xdr:nvSpPr>
      <xdr:spPr bwMode="auto">
        <a:xfrm rot="10800000">
          <a:off x="1689100" y="13360400"/>
          <a:ext cx="673100" cy="596900"/>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3</xdr:col>
      <xdr:colOff>0</xdr:colOff>
      <xdr:row>80</xdr:row>
      <xdr:rowOff>0</xdr:rowOff>
    </xdr:from>
    <xdr:to>
      <xdr:col>3</xdr:col>
      <xdr:colOff>0</xdr:colOff>
      <xdr:row>86</xdr:row>
      <xdr:rowOff>12700</xdr:rowOff>
    </xdr:to>
    <xdr:sp macro="" textlink="">
      <xdr:nvSpPr>
        <xdr:cNvPr id="94722" name="Line 41">
          <a:extLst>
            <a:ext uri="{FF2B5EF4-FFF2-40B4-BE49-F238E27FC236}">
              <a16:creationId xmlns:a16="http://schemas.microsoft.com/office/drawing/2014/main" id="{97673632-1A32-684C-B017-AF88215EBBB8}"/>
            </a:ext>
          </a:extLst>
        </xdr:cNvPr>
        <xdr:cNvSpPr>
          <a:spLocks noChangeShapeType="1"/>
        </xdr:cNvSpPr>
      </xdr:nvSpPr>
      <xdr:spPr bwMode="auto">
        <a:xfrm>
          <a:off x="2019300" y="13360400"/>
          <a:ext cx="0" cy="1003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12700</xdr:colOff>
      <xdr:row>86</xdr:row>
      <xdr:rowOff>12700</xdr:rowOff>
    </xdr:from>
    <xdr:to>
      <xdr:col>4</xdr:col>
      <xdr:colOff>0</xdr:colOff>
      <xdr:row>86</xdr:row>
      <xdr:rowOff>12700</xdr:rowOff>
    </xdr:to>
    <xdr:sp macro="" textlink="">
      <xdr:nvSpPr>
        <xdr:cNvPr id="94723" name="Line 42">
          <a:extLst>
            <a:ext uri="{FF2B5EF4-FFF2-40B4-BE49-F238E27FC236}">
              <a16:creationId xmlns:a16="http://schemas.microsoft.com/office/drawing/2014/main" id="{653310E3-8033-CC4E-A0FF-42489E461988}"/>
            </a:ext>
          </a:extLst>
        </xdr:cNvPr>
        <xdr:cNvSpPr>
          <a:spLocks noChangeShapeType="1"/>
        </xdr:cNvSpPr>
      </xdr:nvSpPr>
      <xdr:spPr bwMode="auto">
        <a:xfrm>
          <a:off x="2032000" y="14363700"/>
          <a:ext cx="660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84</xdr:row>
      <xdr:rowOff>0</xdr:rowOff>
    </xdr:from>
    <xdr:to>
      <xdr:col>5</xdr:col>
      <xdr:colOff>330200</xdr:colOff>
      <xdr:row>88</xdr:row>
      <xdr:rowOff>0</xdr:rowOff>
    </xdr:to>
    <xdr:sp macro="" textlink="">
      <xdr:nvSpPr>
        <xdr:cNvPr id="94724" name="Rectangle 43">
          <a:extLst>
            <a:ext uri="{FF2B5EF4-FFF2-40B4-BE49-F238E27FC236}">
              <a16:creationId xmlns:a16="http://schemas.microsoft.com/office/drawing/2014/main" id="{90B8B670-BB9D-2748-AED9-5BB715879C9C}"/>
            </a:ext>
          </a:extLst>
        </xdr:cNvPr>
        <xdr:cNvSpPr>
          <a:spLocks noChangeArrowheads="1"/>
        </xdr:cNvSpPr>
      </xdr:nvSpPr>
      <xdr:spPr bwMode="auto">
        <a:xfrm>
          <a:off x="2692400" y="14020800"/>
          <a:ext cx="1003300" cy="660400"/>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84</xdr:row>
      <xdr:rowOff>0</xdr:rowOff>
    </xdr:from>
    <xdr:to>
      <xdr:col>7</xdr:col>
      <xdr:colOff>330200</xdr:colOff>
      <xdr:row>88</xdr:row>
      <xdr:rowOff>0</xdr:rowOff>
    </xdr:to>
    <xdr:sp macro="" textlink="">
      <xdr:nvSpPr>
        <xdr:cNvPr id="94725" name="Rectangle 44">
          <a:extLst>
            <a:ext uri="{FF2B5EF4-FFF2-40B4-BE49-F238E27FC236}">
              <a16:creationId xmlns:a16="http://schemas.microsoft.com/office/drawing/2014/main" id="{742165B0-83D0-0246-A353-9C9B1083C6C9}"/>
            </a:ext>
          </a:extLst>
        </xdr:cNvPr>
        <xdr:cNvSpPr>
          <a:spLocks noChangeArrowheads="1"/>
        </xdr:cNvSpPr>
      </xdr:nvSpPr>
      <xdr:spPr bwMode="auto">
        <a:xfrm>
          <a:off x="4038600" y="14020800"/>
          <a:ext cx="1003300" cy="660400"/>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84</xdr:row>
      <xdr:rowOff>9525</xdr:rowOff>
    </xdr:from>
    <xdr:to>
      <xdr:col>8</xdr:col>
      <xdr:colOff>665939</xdr:colOff>
      <xdr:row>87</xdr:row>
      <xdr:rowOff>152400</xdr:rowOff>
    </xdr:to>
    <xdr:sp macro="" textlink="">
      <xdr:nvSpPr>
        <xdr:cNvPr id="13357" name="AutoShape 45">
          <a:extLst>
            <a:ext uri="{FF2B5EF4-FFF2-40B4-BE49-F238E27FC236}">
              <a16:creationId xmlns:a16="http://schemas.microsoft.com/office/drawing/2014/main" id="{EB348B16-511E-9443-B848-0B67AC9DB10E}"/>
            </a:ext>
          </a:extLst>
        </xdr:cNvPr>
        <xdr:cNvSpPr>
          <a:spLocks noChangeArrowheads="1"/>
        </xdr:cNvSpPr>
      </xdr:nvSpPr>
      <xdr:spPr bwMode="auto">
        <a:xfrm rot="5400000">
          <a:off x="4857750" y="13782675"/>
          <a:ext cx="628650" cy="590550"/>
        </a:xfrm>
        <a:prstGeom prst="triangle">
          <a:avLst>
            <a:gd name="adj" fmla="val 50000"/>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endParaRPr lang="en-US" sz="1000" b="0" i="0" strike="noStrike">
            <a:solidFill>
              <a:srgbClr val="000000"/>
            </a:solidFill>
            <a:latin typeface="Arial"/>
            <a:cs typeface="Arial"/>
          </a:endParaRPr>
        </a:p>
        <a:p>
          <a:pPr algn="l" rtl="1">
            <a:defRPr sz="1000"/>
          </a:pPr>
          <a:endParaRPr lang="en-US" sz="1000" b="0" i="0" strike="noStrike">
            <a:solidFill>
              <a:srgbClr val="000000"/>
            </a:solidFill>
            <a:latin typeface="Arial"/>
            <a:cs typeface="Arial"/>
          </a:endParaRPr>
        </a:p>
      </xdr:txBody>
    </xdr:sp>
    <xdr:clientData/>
  </xdr:twoCellAnchor>
  <xdr:twoCellAnchor>
    <xdr:from>
      <xdr:col>5</xdr:col>
      <xdr:colOff>330200</xdr:colOff>
      <xdr:row>86</xdr:row>
      <xdr:rowOff>0</xdr:rowOff>
    </xdr:from>
    <xdr:to>
      <xdr:col>6</xdr:col>
      <xdr:colOff>0</xdr:colOff>
      <xdr:row>86</xdr:row>
      <xdr:rowOff>0</xdr:rowOff>
    </xdr:to>
    <xdr:sp macro="" textlink="">
      <xdr:nvSpPr>
        <xdr:cNvPr id="94727" name="Line 46">
          <a:extLst>
            <a:ext uri="{FF2B5EF4-FFF2-40B4-BE49-F238E27FC236}">
              <a16:creationId xmlns:a16="http://schemas.microsoft.com/office/drawing/2014/main" id="{F311A794-6C11-8F4E-BEF1-CACC673F83BC}"/>
            </a:ext>
          </a:extLst>
        </xdr:cNvPr>
        <xdr:cNvSpPr>
          <a:spLocks noChangeShapeType="1"/>
        </xdr:cNvSpPr>
      </xdr:nvSpPr>
      <xdr:spPr bwMode="auto">
        <a:xfrm>
          <a:off x="3695700" y="14351000"/>
          <a:ext cx="342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330200</xdr:colOff>
      <xdr:row>86</xdr:row>
      <xdr:rowOff>0</xdr:rowOff>
    </xdr:from>
    <xdr:to>
      <xdr:col>7</xdr:col>
      <xdr:colOff>673100</xdr:colOff>
      <xdr:row>86</xdr:row>
      <xdr:rowOff>0</xdr:rowOff>
    </xdr:to>
    <xdr:sp macro="" textlink="">
      <xdr:nvSpPr>
        <xdr:cNvPr id="94728" name="Line 47">
          <a:extLst>
            <a:ext uri="{FF2B5EF4-FFF2-40B4-BE49-F238E27FC236}">
              <a16:creationId xmlns:a16="http://schemas.microsoft.com/office/drawing/2014/main" id="{2CAB59CF-7A9F-4C42-BFB6-CD118393D0B4}"/>
            </a:ext>
          </a:extLst>
        </xdr:cNvPr>
        <xdr:cNvSpPr>
          <a:spLocks noChangeShapeType="1"/>
        </xdr:cNvSpPr>
      </xdr:nvSpPr>
      <xdr:spPr bwMode="auto">
        <a:xfrm>
          <a:off x="5041900" y="14351000"/>
          <a:ext cx="342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660400</xdr:colOff>
      <xdr:row>86</xdr:row>
      <xdr:rowOff>0</xdr:rowOff>
    </xdr:from>
    <xdr:to>
      <xdr:col>10</xdr:col>
      <xdr:colOff>0</xdr:colOff>
      <xdr:row>86</xdr:row>
      <xdr:rowOff>0</xdr:rowOff>
    </xdr:to>
    <xdr:sp macro="" textlink="">
      <xdr:nvSpPr>
        <xdr:cNvPr id="94729" name="Line 48">
          <a:extLst>
            <a:ext uri="{FF2B5EF4-FFF2-40B4-BE49-F238E27FC236}">
              <a16:creationId xmlns:a16="http://schemas.microsoft.com/office/drawing/2014/main" id="{28A08466-6C01-9948-8F9D-86C494F8D106}"/>
            </a:ext>
          </a:extLst>
        </xdr:cNvPr>
        <xdr:cNvSpPr>
          <a:spLocks noChangeShapeType="1"/>
        </xdr:cNvSpPr>
      </xdr:nvSpPr>
      <xdr:spPr bwMode="auto">
        <a:xfrm>
          <a:off x="6045200" y="14351000"/>
          <a:ext cx="1181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342900</xdr:colOff>
      <xdr:row>85</xdr:row>
      <xdr:rowOff>127000</xdr:rowOff>
    </xdr:from>
    <xdr:to>
      <xdr:col>12</xdr:col>
      <xdr:colOff>431800</xdr:colOff>
      <xdr:row>86</xdr:row>
      <xdr:rowOff>38100</xdr:rowOff>
    </xdr:to>
    <xdr:sp macro="" textlink="">
      <xdr:nvSpPr>
        <xdr:cNvPr id="94730" name="Oval 49">
          <a:extLst>
            <a:ext uri="{FF2B5EF4-FFF2-40B4-BE49-F238E27FC236}">
              <a16:creationId xmlns:a16="http://schemas.microsoft.com/office/drawing/2014/main" id="{C333859A-37E5-7047-8A35-E3B7668B43DA}"/>
            </a:ext>
          </a:extLst>
        </xdr:cNvPr>
        <xdr:cNvSpPr>
          <a:spLocks noChangeArrowheads="1"/>
        </xdr:cNvSpPr>
      </xdr:nvSpPr>
      <xdr:spPr bwMode="auto">
        <a:xfrm>
          <a:off x="8915400" y="14312900"/>
          <a:ext cx="88900" cy="76200"/>
        </a:xfrm>
        <a:prstGeom prst="ellipse">
          <a:avLst/>
        </a:prstGeom>
        <a:solidFill>
          <a:srgbClr val="FFFFFF"/>
        </a:solidFill>
        <a:ln w="9525">
          <a:solidFill>
            <a:srgbClr val="000000"/>
          </a:solidFill>
          <a:round/>
          <a:headEnd/>
          <a:tailEnd/>
        </a:ln>
      </xdr:spPr>
    </xdr:sp>
    <xdr:clientData/>
  </xdr:twoCellAnchor>
  <xdr:oneCellAnchor>
    <xdr:from>
      <xdr:col>8</xdr:col>
      <xdr:colOff>79375</xdr:colOff>
      <xdr:row>85</xdr:row>
      <xdr:rowOff>85725</xdr:rowOff>
    </xdr:from>
    <xdr:ext cx="318783" cy="170560"/>
    <xdr:sp macro="" textlink="">
      <xdr:nvSpPr>
        <xdr:cNvPr id="13362" name="Text Box 50">
          <a:extLst>
            <a:ext uri="{FF2B5EF4-FFF2-40B4-BE49-F238E27FC236}">
              <a16:creationId xmlns:a16="http://schemas.microsoft.com/office/drawing/2014/main" id="{8DCF0423-99C8-A745-A39D-4CA1668B6343}"/>
            </a:ext>
          </a:extLst>
        </xdr:cNvPr>
        <xdr:cNvSpPr txBox="1">
          <a:spLocks noChangeArrowheads="1"/>
        </xdr:cNvSpPr>
      </xdr:nvSpPr>
      <xdr:spPr bwMode="auto">
        <a:xfrm>
          <a:off x="4943475" y="14001750"/>
          <a:ext cx="282000"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LNA</a:t>
          </a:r>
        </a:p>
      </xdr:txBody>
    </xdr:sp>
    <xdr:clientData/>
  </xdr:oneCellAnchor>
  <xdr:oneCellAnchor>
    <xdr:from>
      <xdr:col>6</xdr:col>
      <xdr:colOff>89656</xdr:colOff>
      <xdr:row>84</xdr:row>
      <xdr:rowOff>142875</xdr:rowOff>
    </xdr:from>
    <xdr:ext cx="661194" cy="318036"/>
    <xdr:sp macro="" textlink="">
      <xdr:nvSpPr>
        <xdr:cNvPr id="13363" name="Text Box 51">
          <a:extLst>
            <a:ext uri="{FF2B5EF4-FFF2-40B4-BE49-F238E27FC236}">
              <a16:creationId xmlns:a16="http://schemas.microsoft.com/office/drawing/2014/main" id="{EC3EBC4A-7D70-B149-8ABB-BFC4EA8CECA0}"/>
            </a:ext>
          </a:extLst>
        </xdr:cNvPr>
        <xdr:cNvSpPr txBox="1">
          <a:spLocks noChangeArrowheads="1"/>
        </xdr:cNvSpPr>
      </xdr:nvSpPr>
      <xdr:spPr bwMode="auto">
        <a:xfrm>
          <a:off x="3747256" y="13896975"/>
          <a:ext cx="649794" cy="318036"/>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Bandpass</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Filter</a:t>
          </a:r>
        </a:p>
      </xdr:txBody>
    </xdr:sp>
    <xdr:clientData/>
  </xdr:oneCellAnchor>
  <xdr:oneCellAnchor>
    <xdr:from>
      <xdr:col>4</xdr:col>
      <xdr:colOff>212673</xdr:colOff>
      <xdr:row>84</xdr:row>
      <xdr:rowOff>66675</xdr:rowOff>
    </xdr:from>
    <xdr:ext cx="457305" cy="465512"/>
    <xdr:sp macro="" textlink="">
      <xdr:nvSpPr>
        <xdr:cNvPr id="13364" name="Text Box 52">
          <a:extLst>
            <a:ext uri="{FF2B5EF4-FFF2-40B4-BE49-F238E27FC236}">
              <a16:creationId xmlns:a16="http://schemas.microsoft.com/office/drawing/2014/main" id="{52560B65-2DA3-E24E-B12F-9D5DF63435CE}"/>
            </a:ext>
          </a:extLst>
        </xdr:cNvPr>
        <xdr:cNvSpPr txBox="1">
          <a:spLocks noChangeArrowheads="1"/>
        </xdr:cNvSpPr>
      </xdr:nvSpPr>
      <xdr:spPr bwMode="auto">
        <a:xfrm>
          <a:off x="2905073" y="14087475"/>
          <a:ext cx="457305" cy="465512"/>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Other</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In-Line</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Device</a:t>
          </a:r>
        </a:p>
      </xdr:txBody>
    </xdr:sp>
    <xdr:clientData/>
  </xdr:oneCellAnchor>
  <xdr:twoCellAnchor>
    <xdr:from>
      <xdr:col>11</xdr:col>
      <xdr:colOff>190500</xdr:colOff>
      <xdr:row>86</xdr:row>
      <xdr:rowOff>0</xdr:rowOff>
    </xdr:from>
    <xdr:to>
      <xdr:col>12</xdr:col>
      <xdr:colOff>330200</xdr:colOff>
      <xdr:row>86</xdr:row>
      <xdr:rowOff>0</xdr:rowOff>
    </xdr:to>
    <xdr:sp macro="" textlink="">
      <xdr:nvSpPr>
        <xdr:cNvPr id="94734" name="Line 54">
          <a:extLst>
            <a:ext uri="{FF2B5EF4-FFF2-40B4-BE49-F238E27FC236}">
              <a16:creationId xmlns:a16="http://schemas.microsoft.com/office/drawing/2014/main" id="{7DEBD8A9-9434-7247-9F8A-C4F77CAF7D8D}"/>
            </a:ext>
          </a:extLst>
        </xdr:cNvPr>
        <xdr:cNvSpPr>
          <a:spLocks noChangeShapeType="1"/>
        </xdr:cNvSpPr>
      </xdr:nvSpPr>
      <xdr:spPr bwMode="auto">
        <a:xfrm flipV="1">
          <a:off x="8089900" y="14351000"/>
          <a:ext cx="812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12700</xdr:colOff>
      <xdr:row>80</xdr:row>
      <xdr:rowOff>0</xdr:rowOff>
    </xdr:from>
    <xdr:to>
      <xdr:col>8</xdr:col>
      <xdr:colOff>12700</xdr:colOff>
      <xdr:row>83</xdr:row>
      <xdr:rowOff>63500</xdr:rowOff>
    </xdr:to>
    <xdr:sp macro="" textlink="">
      <xdr:nvSpPr>
        <xdr:cNvPr id="94735" name="Line 55">
          <a:extLst>
            <a:ext uri="{FF2B5EF4-FFF2-40B4-BE49-F238E27FC236}">
              <a16:creationId xmlns:a16="http://schemas.microsoft.com/office/drawing/2014/main" id="{47715402-FB1A-8843-A794-953236B7D36C}"/>
            </a:ext>
          </a:extLst>
        </xdr:cNvPr>
        <xdr:cNvSpPr>
          <a:spLocks noChangeShapeType="1"/>
        </xdr:cNvSpPr>
      </xdr:nvSpPr>
      <xdr:spPr bwMode="auto">
        <a:xfrm>
          <a:off x="5397500" y="13360400"/>
          <a:ext cx="0" cy="5588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660400</xdr:colOff>
      <xdr:row>88</xdr:row>
      <xdr:rowOff>127000</xdr:rowOff>
    </xdr:from>
    <xdr:to>
      <xdr:col>7</xdr:col>
      <xdr:colOff>660400</xdr:colOff>
      <xdr:row>92</xdr:row>
      <xdr:rowOff>25400</xdr:rowOff>
    </xdr:to>
    <xdr:sp macro="" textlink="">
      <xdr:nvSpPr>
        <xdr:cNvPr id="94736" name="Line 56">
          <a:extLst>
            <a:ext uri="{FF2B5EF4-FFF2-40B4-BE49-F238E27FC236}">
              <a16:creationId xmlns:a16="http://schemas.microsoft.com/office/drawing/2014/main" id="{0CC115FA-8F0D-2845-8FAA-432C07185D35}"/>
            </a:ext>
          </a:extLst>
        </xdr:cNvPr>
        <xdr:cNvSpPr>
          <a:spLocks noChangeShapeType="1"/>
        </xdr:cNvSpPr>
      </xdr:nvSpPr>
      <xdr:spPr bwMode="auto">
        <a:xfrm>
          <a:off x="5372100" y="14808200"/>
          <a:ext cx="0" cy="5588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80</xdr:row>
      <xdr:rowOff>127000</xdr:rowOff>
    </xdr:from>
    <xdr:to>
      <xdr:col>10</xdr:col>
      <xdr:colOff>0</xdr:colOff>
      <xdr:row>84</xdr:row>
      <xdr:rowOff>25400</xdr:rowOff>
    </xdr:to>
    <xdr:sp macro="" textlink="">
      <xdr:nvSpPr>
        <xdr:cNvPr id="94737" name="Line 57">
          <a:extLst>
            <a:ext uri="{FF2B5EF4-FFF2-40B4-BE49-F238E27FC236}">
              <a16:creationId xmlns:a16="http://schemas.microsoft.com/office/drawing/2014/main" id="{800E9B79-D83D-454B-AEE4-A64C10229EB5}"/>
            </a:ext>
          </a:extLst>
        </xdr:cNvPr>
        <xdr:cNvSpPr>
          <a:spLocks noChangeShapeType="1"/>
        </xdr:cNvSpPr>
      </xdr:nvSpPr>
      <xdr:spPr bwMode="auto">
        <a:xfrm>
          <a:off x="7226300" y="13487400"/>
          <a:ext cx="0" cy="5588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87</xdr:row>
      <xdr:rowOff>152400</xdr:rowOff>
    </xdr:from>
    <xdr:to>
      <xdr:col>10</xdr:col>
      <xdr:colOff>0</xdr:colOff>
      <xdr:row>91</xdr:row>
      <xdr:rowOff>50800</xdr:rowOff>
    </xdr:to>
    <xdr:sp macro="" textlink="">
      <xdr:nvSpPr>
        <xdr:cNvPr id="94738" name="Line 58">
          <a:extLst>
            <a:ext uri="{FF2B5EF4-FFF2-40B4-BE49-F238E27FC236}">
              <a16:creationId xmlns:a16="http://schemas.microsoft.com/office/drawing/2014/main" id="{9A6509D4-63F3-5A4F-97AD-15FEBDB8156D}"/>
            </a:ext>
          </a:extLst>
        </xdr:cNvPr>
        <xdr:cNvSpPr>
          <a:spLocks noChangeShapeType="1"/>
        </xdr:cNvSpPr>
      </xdr:nvSpPr>
      <xdr:spPr bwMode="auto">
        <a:xfrm>
          <a:off x="7226300" y="14668500"/>
          <a:ext cx="0" cy="5588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19050</xdr:colOff>
      <xdr:row>85</xdr:row>
      <xdr:rowOff>0</xdr:rowOff>
    </xdr:from>
    <xdr:to>
      <xdr:col>10</xdr:col>
      <xdr:colOff>428953</xdr:colOff>
      <xdr:row>87</xdr:row>
      <xdr:rowOff>38100</xdr:rowOff>
    </xdr:to>
    <xdr:sp macro="" textlink="">
      <xdr:nvSpPr>
        <xdr:cNvPr id="13371" name="Text Box 59">
          <a:extLst>
            <a:ext uri="{FF2B5EF4-FFF2-40B4-BE49-F238E27FC236}">
              <a16:creationId xmlns:a16="http://schemas.microsoft.com/office/drawing/2014/main" id="{32180A6E-93C9-EA45-AD69-62D8931DC118}"/>
            </a:ext>
          </a:extLst>
        </xdr:cNvPr>
        <xdr:cNvSpPr txBox="1">
          <a:spLocks noChangeArrowheads="1"/>
        </xdr:cNvSpPr>
      </xdr:nvSpPr>
      <xdr:spPr bwMode="auto">
        <a:xfrm>
          <a:off x="6505575" y="13916025"/>
          <a:ext cx="371475" cy="361950"/>
        </a:xfrm>
        <a:prstGeom prst="rect">
          <a:avLst/>
        </a:prstGeom>
        <a:noFill/>
        <a:ln w="9525">
          <a:noFill/>
          <a:miter lim="800000"/>
          <a:headEnd/>
          <a:tailEnd/>
        </a:ln>
      </xdr:spPr>
      <xdr:txBody>
        <a:bodyPr vertOverflow="clip" wrap="square" lIns="27432" tIns="22860" rIns="0" bIns="0" anchor="t" upright="1"/>
        <a:lstStyle/>
        <a:p>
          <a:pPr algn="l" rtl="1">
            <a:defRPr sz="1000"/>
          </a:pPr>
          <a:endParaRPr lang="en-US" sz="800" b="0" i="0" strike="noStrike">
            <a:solidFill>
              <a:srgbClr val="000000"/>
            </a:solidFill>
            <a:latin typeface="Arial"/>
            <a:cs typeface="Arial"/>
          </a:endParaRPr>
        </a:p>
        <a:p>
          <a:pPr algn="l" rtl="1">
            <a:defRPr sz="1000"/>
          </a:pPr>
          <a:endParaRPr lang="en-US" sz="800" b="0" i="0" strike="noStrike">
            <a:solidFill>
              <a:srgbClr val="000000"/>
            </a:solidFill>
            <a:latin typeface="Arial"/>
            <a:cs typeface="Arial"/>
          </a:endParaRPr>
        </a:p>
      </xdr:txBody>
    </xdr:sp>
    <xdr:clientData/>
  </xdr:twoCellAnchor>
  <xdr:twoCellAnchor editAs="oneCell">
    <xdr:from>
      <xdr:col>6</xdr:col>
      <xdr:colOff>368300</xdr:colOff>
      <xdr:row>89</xdr:row>
      <xdr:rowOff>0</xdr:rowOff>
    </xdr:from>
    <xdr:to>
      <xdr:col>6</xdr:col>
      <xdr:colOff>457200</xdr:colOff>
      <xdr:row>90</xdr:row>
      <xdr:rowOff>25400</xdr:rowOff>
    </xdr:to>
    <xdr:sp macro="" textlink="">
      <xdr:nvSpPr>
        <xdr:cNvPr id="94740" name="Text Box 60">
          <a:extLst>
            <a:ext uri="{FF2B5EF4-FFF2-40B4-BE49-F238E27FC236}">
              <a16:creationId xmlns:a16="http://schemas.microsoft.com/office/drawing/2014/main" id="{F552D011-767C-1249-B4BF-9DE23A066E24}"/>
            </a:ext>
          </a:extLst>
        </xdr:cNvPr>
        <xdr:cNvSpPr txBox="1">
          <a:spLocks noChangeArrowheads="1"/>
        </xdr:cNvSpPr>
      </xdr:nvSpPr>
      <xdr:spPr bwMode="auto">
        <a:xfrm>
          <a:off x="4406900" y="14846300"/>
          <a:ext cx="88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282575</xdr:colOff>
      <xdr:row>88</xdr:row>
      <xdr:rowOff>9525</xdr:rowOff>
    </xdr:from>
    <xdr:ext cx="314398" cy="170560"/>
    <xdr:sp macro="" textlink="">
      <xdr:nvSpPr>
        <xdr:cNvPr id="13373" name="Text Box 61">
          <a:extLst>
            <a:ext uri="{FF2B5EF4-FFF2-40B4-BE49-F238E27FC236}">
              <a16:creationId xmlns:a16="http://schemas.microsoft.com/office/drawing/2014/main" id="{137F4AE2-0443-B84B-BB39-C505E94623E7}"/>
            </a:ext>
          </a:extLst>
        </xdr:cNvPr>
        <xdr:cNvSpPr txBox="1">
          <a:spLocks noChangeArrowheads="1"/>
        </xdr:cNvSpPr>
      </xdr:nvSpPr>
      <xdr:spPr bwMode="auto">
        <a:xfrm>
          <a:off x="3914775" y="14411325"/>
          <a:ext cx="289246"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a:t>
          </a:r>
          <a:r>
            <a:rPr lang="en-US" sz="800" b="0" i="0" strike="noStrike">
              <a:solidFill>
                <a:srgbClr val="000000"/>
              </a:solidFill>
              <a:latin typeface="Arial"/>
              <a:cs typeface="Arial"/>
            </a:rPr>
            <a:t>BPF</a:t>
          </a:r>
        </a:p>
      </xdr:txBody>
    </xdr:sp>
    <xdr:clientData/>
  </xdr:oneCellAnchor>
  <xdr:twoCellAnchor>
    <xdr:from>
      <xdr:col>6</xdr:col>
      <xdr:colOff>0</xdr:colOff>
      <xdr:row>88</xdr:row>
      <xdr:rowOff>88900</xdr:rowOff>
    </xdr:from>
    <xdr:to>
      <xdr:col>6</xdr:col>
      <xdr:colOff>279400</xdr:colOff>
      <xdr:row>88</xdr:row>
      <xdr:rowOff>88900</xdr:rowOff>
    </xdr:to>
    <xdr:sp macro="" textlink="">
      <xdr:nvSpPr>
        <xdr:cNvPr id="94742" name="Line 62">
          <a:extLst>
            <a:ext uri="{FF2B5EF4-FFF2-40B4-BE49-F238E27FC236}">
              <a16:creationId xmlns:a16="http://schemas.microsoft.com/office/drawing/2014/main" id="{DF8F726A-392A-6747-A3C2-0AA3E12F777D}"/>
            </a:ext>
          </a:extLst>
        </xdr:cNvPr>
        <xdr:cNvSpPr>
          <a:spLocks noChangeShapeType="1"/>
        </xdr:cNvSpPr>
      </xdr:nvSpPr>
      <xdr:spPr bwMode="auto">
        <a:xfrm flipH="1">
          <a:off x="4038600" y="14770100"/>
          <a:ext cx="279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12700</xdr:colOff>
      <xdr:row>88</xdr:row>
      <xdr:rowOff>88900</xdr:rowOff>
    </xdr:from>
    <xdr:to>
      <xdr:col>7</xdr:col>
      <xdr:colOff>304800</xdr:colOff>
      <xdr:row>88</xdr:row>
      <xdr:rowOff>88900</xdr:rowOff>
    </xdr:to>
    <xdr:sp macro="" textlink="">
      <xdr:nvSpPr>
        <xdr:cNvPr id="94743" name="Line 63">
          <a:extLst>
            <a:ext uri="{FF2B5EF4-FFF2-40B4-BE49-F238E27FC236}">
              <a16:creationId xmlns:a16="http://schemas.microsoft.com/office/drawing/2014/main" id="{4CF33BC7-AC99-EC42-B25E-40178EB2C103}"/>
            </a:ext>
          </a:extLst>
        </xdr:cNvPr>
        <xdr:cNvSpPr>
          <a:spLocks noChangeShapeType="1"/>
        </xdr:cNvSpPr>
      </xdr:nvSpPr>
      <xdr:spPr bwMode="auto">
        <a:xfrm>
          <a:off x="4724400" y="14770100"/>
          <a:ext cx="292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660400</xdr:colOff>
      <xdr:row>88</xdr:row>
      <xdr:rowOff>101600</xdr:rowOff>
    </xdr:from>
    <xdr:to>
      <xdr:col>4</xdr:col>
      <xdr:colOff>266700</xdr:colOff>
      <xdr:row>88</xdr:row>
      <xdr:rowOff>101600</xdr:rowOff>
    </xdr:to>
    <xdr:sp macro="" textlink="">
      <xdr:nvSpPr>
        <xdr:cNvPr id="94744" name="Line 64">
          <a:extLst>
            <a:ext uri="{FF2B5EF4-FFF2-40B4-BE49-F238E27FC236}">
              <a16:creationId xmlns:a16="http://schemas.microsoft.com/office/drawing/2014/main" id="{BCD2F64E-77C5-1D44-82E3-4D119BCA5496}"/>
            </a:ext>
          </a:extLst>
        </xdr:cNvPr>
        <xdr:cNvSpPr>
          <a:spLocks noChangeShapeType="1"/>
        </xdr:cNvSpPr>
      </xdr:nvSpPr>
      <xdr:spPr bwMode="auto">
        <a:xfrm flipH="1">
          <a:off x="2679700" y="14782800"/>
          <a:ext cx="279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25400</xdr:colOff>
      <xdr:row>88</xdr:row>
      <xdr:rowOff>88900</xdr:rowOff>
    </xdr:from>
    <xdr:to>
      <xdr:col>5</xdr:col>
      <xdr:colOff>317500</xdr:colOff>
      <xdr:row>88</xdr:row>
      <xdr:rowOff>88900</xdr:rowOff>
    </xdr:to>
    <xdr:sp macro="" textlink="">
      <xdr:nvSpPr>
        <xdr:cNvPr id="94745" name="Line 65">
          <a:extLst>
            <a:ext uri="{FF2B5EF4-FFF2-40B4-BE49-F238E27FC236}">
              <a16:creationId xmlns:a16="http://schemas.microsoft.com/office/drawing/2014/main" id="{9B735781-863D-794A-A4CD-120D8EFB2003}"/>
            </a:ext>
          </a:extLst>
        </xdr:cNvPr>
        <xdr:cNvSpPr>
          <a:spLocks noChangeShapeType="1"/>
        </xdr:cNvSpPr>
      </xdr:nvSpPr>
      <xdr:spPr bwMode="auto">
        <a:xfrm>
          <a:off x="3390900" y="14770100"/>
          <a:ext cx="292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xdr:col>
      <xdr:colOff>282575</xdr:colOff>
      <xdr:row>88</xdr:row>
      <xdr:rowOff>9525</xdr:rowOff>
    </xdr:from>
    <xdr:ext cx="361025" cy="170560"/>
    <xdr:sp macro="" textlink="">
      <xdr:nvSpPr>
        <xdr:cNvPr id="13378" name="Text Box 66">
          <a:extLst>
            <a:ext uri="{FF2B5EF4-FFF2-40B4-BE49-F238E27FC236}">
              <a16:creationId xmlns:a16="http://schemas.microsoft.com/office/drawing/2014/main" id="{ED7BE90B-B5E7-854A-98CA-8AD4365CCC46}"/>
            </a:ext>
          </a:extLst>
        </xdr:cNvPr>
        <xdr:cNvSpPr txBox="1">
          <a:spLocks noChangeArrowheads="1"/>
        </xdr:cNvSpPr>
      </xdr:nvSpPr>
      <xdr:spPr bwMode="auto">
        <a:xfrm>
          <a:off x="2695575" y="14411325"/>
          <a:ext cx="32367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a:t>
          </a:r>
          <a:r>
            <a:rPr lang="en-US" sz="800" b="0" i="0" strike="noStrike">
              <a:solidFill>
                <a:srgbClr val="000000"/>
              </a:solidFill>
              <a:latin typeface="Arial"/>
              <a:cs typeface="Arial"/>
            </a:rPr>
            <a:t>other</a:t>
          </a:r>
        </a:p>
      </xdr:txBody>
    </xdr:sp>
    <xdr:clientData/>
  </xdr:oneCellAnchor>
  <xdr:twoCellAnchor>
    <xdr:from>
      <xdr:col>13</xdr:col>
      <xdr:colOff>25400</xdr:colOff>
      <xdr:row>119</xdr:row>
      <xdr:rowOff>0</xdr:rowOff>
    </xdr:from>
    <xdr:to>
      <xdr:col>13</xdr:col>
      <xdr:colOff>635000</xdr:colOff>
      <xdr:row>142</xdr:row>
      <xdr:rowOff>0</xdr:rowOff>
    </xdr:to>
    <xdr:sp macro="" textlink="">
      <xdr:nvSpPr>
        <xdr:cNvPr id="94747" name="AutoShape 74">
          <a:extLst>
            <a:ext uri="{FF2B5EF4-FFF2-40B4-BE49-F238E27FC236}">
              <a16:creationId xmlns:a16="http://schemas.microsoft.com/office/drawing/2014/main" id="{D6E64DA4-CD42-C444-BA74-9689AA4E439E}"/>
            </a:ext>
          </a:extLst>
        </xdr:cNvPr>
        <xdr:cNvSpPr>
          <a:spLocks/>
        </xdr:cNvSpPr>
      </xdr:nvSpPr>
      <xdr:spPr bwMode="auto">
        <a:xfrm>
          <a:off x="9271000" y="19799300"/>
          <a:ext cx="609600" cy="3797300"/>
        </a:xfrm>
        <a:prstGeom prst="leftBrace">
          <a:avLst>
            <a:gd name="adj1" fmla="val 51910"/>
            <a:gd name="adj2" fmla="val 375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177800</xdr:colOff>
      <xdr:row>127</xdr:row>
      <xdr:rowOff>101600</xdr:rowOff>
    </xdr:from>
    <xdr:to>
      <xdr:col>12</xdr:col>
      <xdr:colOff>596900</xdr:colOff>
      <xdr:row>127</xdr:row>
      <xdr:rowOff>101600</xdr:rowOff>
    </xdr:to>
    <xdr:sp macro="" textlink="">
      <xdr:nvSpPr>
        <xdr:cNvPr id="94748" name="Line 75">
          <a:extLst>
            <a:ext uri="{FF2B5EF4-FFF2-40B4-BE49-F238E27FC236}">
              <a16:creationId xmlns:a16="http://schemas.microsoft.com/office/drawing/2014/main" id="{89E86D52-83C4-AE43-894A-1C303BAD2100}"/>
            </a:ext>
          </a:extLst>
        </xdr:cNvPr>
        <xdr:cNvSpPr>
          <a:spLocks noChangeShapeType="1"/>
        </xdr:cNvSpPr>
      </xdr:nvSpPr>
      <xdr:spPr bwMode="auto">
        <a:xfrm flipH="1">
          <a:off x="7404100" y="21221700"/>
          <a:ext cx="1765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266700</xdr:colOff>
      <xdr:row>60</xdr:row>
      <xdr:rowOff>114300</xdr:rowOff>
    </xdr:from>
    <xdr:to>
      <xdr:col>13</xdr:col>
      <xdr:colOff>63500</xdr:colOff>
      <xdr:row>60</xdr:row>
      <xdr:rowOff>114300</xdr:rowOff>
    </xdr:to>
    <xdr:sp macro="" textlink="">
      <xdr:nvSpPr>
        <xdr:cNvPr id="94749" name="Line 77">
          <a:extLst>
            <a:ext uri="{FF2B5EF4-FFF2-40B4-BE49-F238E27FC236}">
              <a16:creationId xmlns:a16="http://schemas.microsoft.com/office/drawing/2014/main" id="{875BAA73-C8EA-8C43-BE7B-B294E9C75B65}"/>
            </a:ext>
          </a:extLst>
        </xdr:cNvPr>
        <xdr:cNvSpPr>
          <a:spLocks noChangeShapeType="1"/>
        </xdr:cNvSpPr>
      </xdr:nvSpPr>
      <xdr:spPr bwMode="auto">
        <a:xfrm flipH="1">
          <a:off x="7493000" y="10134600"/>
          <a:ext cx="1816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25400</xdr:colOff>
      <xdr:row>60</xdr:row>
      <xdr:rowOff>114300</xdr:rowOff>
    </xdr:from>
    <xdr:to>
      <xdr:col>12</xdr:col>
      <xdr:colOff>25400</xdr:colOff>
      <xdr:row>64</xdr:row>
      <xdr:rowOff>101600</xdr:rowOff>
    </xdr:to>
    <xdr:sp macro="" textlink="">
      <xdr:nvSpPr>
        <xdr:cNvPr id="94750" name="Line 78">
          <a:extLst>
            <a:ext uri="{FF2B5EF4-FFF2-40B4-BE49-F238E27FC236}">
              <a16:creationId xmlns:a16="http://schemas.microsoft.com/office/drawing/2014/main" id="{6C46085F-F51E-EA4E-87EC-B5BF2E665F67}"/>
            </a:ext>
          </a:extLst>
        </xdr:cNvPr>
        <xdr:cNvSpPr>
          <a:spLocks noChangeShapeType="1"/>
        </xdr:cNvSpPr>
      </xdr:nvSpPr>
      <xdr:spPr bwMode="auto">
        <a:xfrm>
          <a:off x="8597900" y="10134600"/>
          <a:ext cx="0"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64</xdr:row>
      <xdr:rowOff>101600</xdr:rowOff>
    </xdr:from>
    <xdr:to>
      <xdr:col>12</xdr:col>
      <xdr:colOff>25400</xdr:colOff>
      <xdr:row>64</xdr:row>
      <xdr:rowOff>101600</xdr:rowOff>
    </xdr:to>
    <xdr:sp macro="" textlink="">
      <xdr:nvSpPr>
        <xdr:cNvPr id="94751" name="Line 79">
          <a:extLst>
            <a:ext uri="{FF2B5EF4-FFF2-40B4-BE49-F238E27FC236}">
              <a16:creationId xmlns:a16="http://schemas.microsoft.com/office/drawing/2014/main" id="{DDFEAFB9-31D2-8E4F-81AA-73E210B08B2E}"/>
            </a:ext>
          </a:extLst>
        </xdr:cNvPr>
        <xdr:cNvSpPr>
          <a:spLocks noChangeShapeType="1"/>
        </xdr:cNvSpPr>
      </xdr:nvSpPr>
      <xdr:spPr bwMode="auto">
        <a:xfrm flipH="1">
          <a:off x="7531100" y="10782300"/>
          <a:ext cx="1066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254000</xdr:colOff>
      <xdr:row>119</xdr:row>
      <xdr:rowOff>76200</xdr:rowOff>
    </xdr:from>
    <xdr:to>
      <xdr:col>11</xdr:col>
      <xdr:colOff>215900</xdr:colOff>
      <xdr:row>119</xdr:row>
      <xdr:rowOff>76200</xdr:rowOff>
    </xdr:to>
    <xdr:sp macro="" textlink="">
      <xdr:nvSpPr>
        <xdr:cNvPr id="94752" name="Line 82">
          <a:extLst>
            <a:ext uri="{FF2B5EF4-FFF2-40B4-BE49-F238E27FC236}">
              <a16:creationId xmlns:a16="http://schemas.microsoft.com/office/drawing/2014/main" id="{BB4414FC-CC1E-3841-AA1C-35B0BD999750}"/>
            </a:ext>
          </a:extLst>
        </xdr:cNvPr>
        <xdr:cNvSpPr>
          <a:spLocks noChangeShapeType="1"/>
        </xdr:cNvSpPr>
      </xdr:nvSpPr>
      <xdr:spPr bwMode="auto">
        <a:xfrm flipH="1">
          <a:off x="7480300" y="19875500"/>
          <a:ext cx="635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215900</xdr:colOff>
      <xdr:row>119</xdr:row>
      <xdr:rowOff>76200</xdr:rowOff>
    </xdr:from>
    <xdr:to>
      <xdr:col>11</xdr:col>
      <xdr:colOff>215900</xdr:colOff>
      <xdr:row>121</xdr:row>
      <xdr:rowOff>76200</xdr:rowOff>
    </xdr:to>
    <xdr:sp macro="" textlink="">
      <xdr:nvSpPr>
        <xdr:cNvPr id="94753" name="Line 83">
          <a:extLst>
            <a:ext uri="{FF2B5EF4-FFF2-40B4-BE49-F238E27FC236}">
              <a16:creationId xmlns:a16="http://schemas.microsoft.com/office/drawing/2014/main" id="{BBF0A82B-F9C3-B747-B570-EB841BF2C67B}"/>
            </a:ext>
          </a:extLst>
        </xdr:cNvPr>
        <xdr:cNvSpPr>
          <a:spLocks noChangeShapeType="1"/>
        </xdr:cNvSpPr>
      </xdr:nvSpPr>
      <xdr:spPr bwMode="auto">
        <a:xfrm>
          <a:off x="8115300" y="19875500"/>
          <a:ext cx="0" cy="330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12700</xdr:colOff>
      <xdr:row>121</xdr:row>
      <xdr:rowOff>76200</xdr:rowOff>
    </xdr:from>
    <xdr:to>
      <xdr:col>11</xdr:col>
      <xdr:colOff>228600</xdr:colOff>
      <xdr:row>121</xdr:row>
      <xdr:rowOff>76200</xdr:rowOff>
    </xdr:to>
    <xdr:sp macro="" textlink="">
      <xdr:nvSpPr>
        <xdr:cNvPr id="94754" name="Line 84">
          <a:extLst>
            <a:ext uri="{FF2B5EF4-FFF2-40B4-BE49-F238E27FC236}">
              <a16:creationId xmlns:a16="http://schemas.microsoft.com/office/drawing/2014/main" id="{3D622E93-5CA1-B249-9EBA-03491E3C7F8F}"/>
            </a:ext>
          </a:extLst>
        </xdr:cNvPr>
        <xdr:cNvSpPr>
          <a:spLocks noChangeShapeType="1"/>
        </xdr:cNvSpPr>
      </xdr:nvSpPr>
      <xdr:spPr bwMode="auto">
        <a:xfrm flipH="1">
          <a:off x="7912100" y="20205700"/>
          <a:ext cx="215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254000</xdr:colOff>
      <xdr:row>48</xdr:row>
      <xdr:rowOff>88900</xdr:rowOff>
    </xdr:from>
    <xdr:to>
      <xdr:col>11</xdr:col>
      <xdr:colOff>254000</xdr:colOff>
      <xdr:row>48</xdr:row>
      <xdr:rowOff>88900</xdr:rowOff>
    </xdr:to>
    <xdr:sp macro="" textlink="">
      <xdr:nvSpPr>
        <xdr:cNvPr id="94755" name="Line 85">
          <a:extLst>
            <a:ext uri="{FF2B5EF4-FFF2-40B4-BE49-F238E27FC236}">
              <a16:creationId xmlns:a16="http://schemas.microsoft.com/office/drawing/2014/main" id="{7008EDEC-8288-5A4B-8DB6-87B78A80BFF2}"/>
            </a:ext>
          </a:extLst>
        </xdr:cNvPr>
        <xdr:cNvSpPr>
          <a:spLocks noChangeShapeType="1"/>
        </xdr:cNvSpPr>
      </xdr:nvSpPr>
      <xdr:spPr bwMode="auto">
        <a:xfrm flipH="1">
          <a:off x="7480300" y="8128000"/>
          <a:ext cx="673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252824</xdr:colOff>
      <xdr:row>48</xdr:row>
      <xdr:rowOff>94075</xdr:rowOff>
    </xdr:from>
    <xdr:to>
      <xdr:col>11</xdr:col>
      <xdr:colOff>252824</xdr:colOff>
      <xdr:row>50</xdr:row>
      <xdr:rowOff>82316</xdr:rowOff>
    </xdr:to>
    <xdr:sp macro="" textlink="">
      <xdr:nvSpPr>
        <xdr:cNvPr id="94756" name="Line 87">
          <a:extLst>
            <a:ext uri="{FF2B5EF4-FFF2-40B4-BE49-F238E27FC236}">
              <a16:creationId xmlns:a16="http://schemas.microsoft.com/office/drawing/2014/main" id="{DFBB1BD1-041F-B144-85F1-5284F553E1C6}"/>
            </a:ext>
          </a:extLst>
        </xdr:cNvPr>
        <xdr:cNvSpPr>
          <a:spLocks noChangeShapeType="1"/>
        </xdr:cNvSpPr>
      </xdr:nvSpPr>
      <xdr:spPr bwMode="auto">
        <a:xfrm>
          <a:off x="8131528" y="8113890"/>
          <a:ext cx="0" cy="317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50</xdr:row>
      <xdr:rowOff>76200</xdr:rowOff>
    </xdr:from>
    <xdr:to>
      <xdr:col>11</xdr:col>
      <xdr:colOff>254000</xdr:colOff>
      <xdr:row>50</xdr:row>
      <xdr:rowOff>76200</xdr:rowOff>
    </xdr:to>
    <xdr:sp macro="" textlink="">
      <xdr:nvSpPr>
        <xdr:cNvPr id="94757" name="Line 88">
          <a:extLst>
            <a:ext uri="{FF2B5EF4-FFF2-40B4-BE49-F238E27FC236}">
              <a16:creationId xmlns:a16="http://schemas.microsoft.com/office/drawing/2014/main" id="{AEB2D41D-0CE5-1742-8C79-028C44D5FF8A}"/>
            </a:ext>
          </a:extLst>
        </xdr:cNvPr>
        <xdr:cNvSpPr>
          <a:spLocks noChangeShapeType="1"/>
        </xdr:cNvSpPr>
      </xdr:nvSpPr>
      <xdr:spPr bwMode="auto">
        <a:xfrm flipH="1">
          <a:off x="7899400" y="8445500"/>
          <a:ext cx="254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84</xdr:row>
      <xdr:rowOff>12700</xdr:rowOff>
    </xdr:from>
    <xdr:to>
      <xdr:col>11</xdr:col>
      <xdr:colOff>546100</xdr:colOff>
      <xdr:row>87</xdr:row>
      <xdr:rowOff>152400</xdr:rowOff>
    </xdr:to>
    <xdr:sp macro="" textlink="">
      <xdr:nvSpPr>
        <xdr:cNvPr id="94758" name="Rectangle 90">
          <a:extLst>
            <a:ext uri="{FF2B5EF4-FFF2-40B4-BE49-F238E27FC236}">
              <a16:creationId xmlns:a16="http://schemas.microsoft.com/office/drawing/2014/main" id="{C5019EF8-D06D-4D4C-9B50-0C607C663C26}"/>
            </a:ext>
          </a:extLst>
        </xdr:cNvPr>
        <xdr:cNvSpPr>
          <a:spLocks noChangeArrowheads="1"/>
        </xdr:cNvSpPr>
      </xdr:nvSpPr>
      <xdr:spPr bwMode="auto">
        <a:xfrm>
          <a:off x="7226300" y="14033500"/>
          <a:ext cx="1219200" cy="635000"/>
        </a:xfrm>
        <a:prstGeom prst="rect">
          <a:avLst/>
        </a:prstGeom>
        <a:solidFill>
          <a:srgbClr val="FFFFFF"/>
        </a:solidFill>
        <a:ln w="9525">
          <a:solidFill>
            <a:srgbClr val="000000"/>
          </a:solidFill>
          <a:miter lim="800000"/>
          <a:headEnd/>
          <a:tailEnd/>
        </a:ln>
      </xdr:spPr>
    </xdr:sp>
    <xdr:clientData/>
  </xdr:twoCellAnchor>
  <xdr:oneCellAnchor>
    <xdr:from>
      <xdr:col>9</xdr:col>
      <xdr:colOff>731542</xdr:colOff>
      <xdr:row>84</xdr:row>
      <xdr:rowOff>152400</xdr:rowOff>
    </xdr:from>
    <xdr:ext cx="1077219" cy="318036"/>
    <xdr:sp macro="" textlink="">
      <xdr:nvSpPr>
        <xdr:cNvPr id="13403" name="Text Box 91">
          <a:extLst>
            <a:ext uri="{FF2B5EF4-FFF2-40B4-BE49-F238E27FC236}">
              <a16:creationId xmlns:a16="http://schemas.microsoft.com/office/drawing/2014/main" id="{7A136A2E-78F2-B141-8EA7-919D23E0A776}"/>
            </a:ext>
          </a:extLst>
        </xdr:cNvPr>
        <xdr:cNvSpPr txBox="1">
          <a:spLocks noChangeArrowheads="1"/>
        </xdr:cNvSpPr>
      </xdr:nvSpPr>
      <xdr:spPr bwMode="auto">
        <a:xfrm>
          <a:off x="7195842" y="14173200"/>
          <a:ext cx="1077219" cy="318036"/>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Communications</a:t>
          </a:r>
        </a:p>
        <a:p>
          <a:pPr algn="ctr" rtl="1">
            <a:defRPr sz="1000"/>
          </a:pPr>
          <a:r>
            <a:rPr lang="en-US" sz="1000" b="1" i="0" strike="noStrike">
              <a:solidFill>
                <a:srgbClr val="000000"/>
              </a:solidFill>
              <a:latin typeface="Arial"/>
              <a:cs typeface="Arial"/>
            </a:rPr>
            <a:t>Receiver</a:t>
          </a:r>
        </a:p>
      </xdr:txBody>
    </xdr:sp>
    <xdr:clientData/>
  </xdr:oneCellAnchor>
  <xdr:oneCellAnchor>
    <xdr:from>
      <xdr:col>9</xdr:col>
      <xdr:colOff>0</xdr:colOff>
      <xdr:row>83</xdr:row>
      <xdr:rowOff>152400</xdr:rowOff>
    </xdr:from>
    <xdr:ext cx="189031" cy="170560"/>
    <xdr:sp macro="" textlink="">
      <xdr:nvSpPr>
        <xdr:cNvPr id="13404" name="Text Box 92">
          <a:extLst>
            <a:ext uri="{FF2B5EF4-FFF2-40B4-BE49-F238E27FC236}">
              <a16:creationId xmlns:a16="http://schemas.microsoft.com/office/drawing/2014/main" id="{EF8428AF-0484-9A47-BBAC-8ED9E9394BC7}"/>
            </a:ext>
          </a:extLst>
        </xdr:cNvPr>
        <xdr:cNvSpPr txBox="1">
          <a:spLocks noChangeArrowheads="1"/>
        </xdr:cNvSpPr>
      </xdr:nvSpPr>
      <xdr:spPr bwMode="auto">
        <a:xfrm>
          <a:off x="5819775" y="13744575"/>
          <a:ext cx="16382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a:t>
          </a:r>
          <a:r>
            <a:rPr lang="en-US" sz="800" b="0" i="0" strike="noStrike">
              <a:solidFill>
                <a:srgbClr val="000000"/>
              </a:solidFill>
              <a:latin typeface="Arial"/>
              <a:cs typeface="Arial"/>
            </a:rPr>
            <a:t>D</a:t>
          </a:r>
        </a:p>
      </xdr:txBody>
    </xdr:sp>
    <xdr:clientData/>
  </xdr:oneCellAnchor>
  <xdr:oneCellAnchor>
    <xdr:from>
      <xdr:col>8</xdr:col>
      <xdr:colOff>530225</xdr:colOff>
      <xdr:row>86</xdr:row>
      <xdr:rowOff>133350</xdr:rowOff>
    </xdr:from>
    <xdr:ext cx="1034603" cy="318036"/>
    <xdr:sp macro="" textlink="">
      <xdr:nvSpPr>
        <xdr:cNvPr id="13405" name="Text Box 93">
          <a:extLst>
            <a:ext uri="{FF2B5EF4-FFF2-40B4-BE49-F238E27FC236}">
              <a16:creationId xmlns:a16="http://schemas.microsoft.com/office/drawing/2014/main" id="{D6D069D1-F8E9-3B43-B0BF-8038716038FE}"/>
            </a:ext>
          </a:extLst>
        </xdr:cNvPr>
        <xdr:cNvSpPr txBox="1">
          <a:spLocks noChangeArrowheads="1"/>
        </xdr:cNvSpPr>
      </xdr:nvSpPr>
      <xdr:spPr bwMode="auto">
        <a:xfrm>
          <a:off x="5343525" y="14211300"/>
          <a:ext cx="1023357" cy="318036"/>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Long Cable Run</a:t>
          </a:r>
        </a:p>
        <a:p>
          <a:pPr algn="l" rtl="1">
            <a:defRPr sz="1000"/>
          </a:pPr>
          <a:r>
            <a:rPr lang="en-US" sz="1000" b="0" i="0" strike="noStrike">
              <a:solidFill>
                <a:srgbClr val="000000"/>
              </a:solidFill>
              <a:latin typeface="Arial"/>
              <a:cs typeface="Arial"/>
            </a:rPr>
            <a:t>(See Note Below)</a:t>
          </a:r>
        </a:p>
      </xdr:txBody>
    </xdr:sp>
    <xdr:clientData/>
  </xdr:oneCellAnchor>
  <xdr:twoCellAnchor>
    <xdr:from>
      <xdr:col>20</xdr:col>
      <xdr:colOff>520700</xdr:colOff>
      <xdr:row>52</xdr:row>
      <xdr:rowOff>50800</xdr:rowOff>
    </xdr:from>
    <xdr:to>
      <xdr:col>21</xdr:col>
      <xdr:colOff>165100</xdr:colOff>
      <xdr:row>54</xdr:row>
      <xdr:rowOff>88900</xdr:rowOff>
    </xdr:to>
    <xdr:sp macro="" textlink="">
      <xdr:nvSpPr>
        <xdr:cNvPr id="94762" name="Line 97">
          <a:extLst>
            <a:ext uri="{FF2B5EF4-FFF2-40B4-BE49-F238E27FC236}">
              <a16:creationId xmlns:a16="http://schemas.microsoft.com/office/drawing/2014/main" id="{57BF316E-9087-344A-845D-AE0EEBDC1E3C}"/>
            </a:ext>
          </a:extLst>
        </xdr:cNvPr>
        <xdr:cNvSpPr>
          <a:spLocks noChangeShapeType="1"/>
        </xdr:cNvSpPr>
      </xdr:nvSpPr>
      <xdr:spPr bwMode="auto">
        <a:xfrm flipV="1">
          <a:off x="14478000" y="8750300"/>
          <a:ext cx="368300" cy="3683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393700</xdr:colOff>
      <xdr:row>9</xdr:row>
      <xdr:rowOff>88900</xdr:rowOff>
    </xdr:from>
    <xdr:to>
      <xdr:col>4</xdr:col>
      <xdr:colOff>685800</xdr:colOff>
      <xdr:row>9</xdr:row>
      <xdr:rowOff>88900</xdr:rowOff>
    </xdr:to>
    <xdr:sp macro="" textlink="">
      <xdr:nvSpPr>
        <xdr:cNvPr id="8417" name="Line 12">
          <a:extLst>
            <a:ext uri="{FF2B5EF4-FFF2-40B4-BE49-F238E27FC236}">
              <a16:creationId xmlns:a16="http://schemas.microsoft.com/office/drawing/2014/main" id="{5FC71573-C2DA-CF40-92EE-908F6F130202}"/>
            </a:ext>
          </a:extLst>
        </xdr:cNvPr>
        <xdr:cNvSpPr>
          <a:spLocks noChangeShapeType="1"/>
        </xdr:cNvSpPr>
      </xdr:nvSpPr>
      <xdr:spPr bwMode="auto">
        <a:xfrm flipH="1" flipV="1">
          <a:off x="3086100" y="1866900"/>
          <a:ext cx="292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9</xdr:row>
      <xdr:rowOff>88900</xdr:rowOff>
    </xdr:from>
    <xdr:to>
      <xdr:col>4</xdr:col>
      <xdr:colOff>393700</xdr:colOff>
      <xdr:row>10</xdr:row>
      <xdr:rowOff>0</xdr:rowOff>
    </xdr:to>
    <xdr:sp macro="" textlink="">
      <xdr:nvSpPr>
        <xdr:cNvPr id="8418" name="Line 13">
          <a:extLst>
            <a:ext uri="{FF2B5EF4-FFF2-40B4-BE49-F238E27FC236}">
              <a16:creationId xmlns:a16="http://schemas.microsoft.com/office/drawing/2014/main" id="{F2C86065-59B4-3F41-9D33-1A55DE46AE37}"/>
            </a:ext>
          </a:extLst>
        </xdr:cNvPr>
        <xdr:cNvSpPr>
          <a:spLocks noChangeShapeType="1"/>
        </xdr:cNvSpPr>
      </xdr:nvSpPr>
      <xdr:spPr bwMode="auto">
        <a:xfrm flipH="1">
          <a:off x="3086100" y="1866900"/>
          <a:ext cx="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393700</xdr:colOff>
      <xdr:row>56</xdr:row>
      <xdr:rowOff>88900</xdr:rowOff>
    </xdr:from>
    <xdr:to>
      <xdr:col>4</xdr:col>
      <xdr:colOff>685800</xdr:colOff>
      <xdr:row>56</xdr:row>
      <xdr:rowOff>88900</xdr:rowOff>
    </xdr:to>
    <xdr:sp macro="" textlink="">
      <xdr:nvSpPr>
        <xdr:cNvPr id="8419" name="Line 17">
          <a:extLst>
            <a:ext uri="{FF2B5EF4-FFF2-40B4-BE49-F238E27FC236}">
              <a16:creationId xmlns:a16="http://schemas.microsoft.com/office/drawing/2014/main" id="{69B043FF-E18C-DE47-A906-224EF4B9DD81}"/>
            </a:ext>
          </a:extLst>
        </xdr:cNvPr>
        <xdr:cNvSpPr>
          <a:spLocks noChangeShapeType="1"/>
        </xdr:cNvSpPr>
      </xdr:nvSpPr>
      <xdr:spPr bwMode="auto">
        <a:xfrm flipH="1" flipV="1">
          <a:off x="3086100" y="15163800"/>
          <a:ext cx="292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56</xdr:row>
      <xdr:rowOff>88900</xdr:rowOff>
    </xdr:from>
    <xdr:to>
      <xdr:col>4</xdr:col>
      <xdr:colOff>393700</xdr:colOff>
      <xdr:row>57</xdr:row>
      <xdr:rowOff>0</xdr:rowOff>
    </xdr:to>
    <xdr:sp macro="" textlink="">
      <xdr:nvSpPr>
        <xdr:cNvPr id="8420" name="Line 18">
          <a:extLst>
            <a:ext uri="{FF2B5EF4-FFF2-40B4-BE49-F238E27FC236}">
              <a16:creationId xmlns:a16="http://schemas.microsoft.com/office/drawing/2014/main" id="{94F56C7E-9807-EF4B-9A9F-73D38CCEBC03}"/>
            </a:ext>
          </a:extLst>
        </xdr:cNvPr>
        <xdr:cNvSpPr>
          <a:spLocks noChangeShapeType="1"/>
        </xdr:cNvSpPr>
      </xdr:nvSpPr>
      <xdr:spPr bwMode="auto">
        <a:xfrm flipH="1">
          <a:off x="3086100" y="15163800"/>
          <a:ext cx="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139700</xdr:colOff>
      <xdr:row>33</xdr:row>
      <xdr:rowOff>12700</xdr:rowOff>
    </xdr:from>
    <xdr:to>
      <xdr:col>3</xdr:col>
      <xdr:colOff>139700</xdr:colOff>
      <xdr:row>33</xdr:row>
      <xdr:rowOff>203200</xdr:rowOff>
    </xdr:to>
    <xdr:sp macro="" textlink="">
      <xdr:nvSpPr>
        <xdr:cNvPr id="8421" name="Line 20">
          <a:extLst>
            <a:ext uri="{FF2B5EF4-FFF2-40B4-BE49-F238E27FC236}">
              <a16:creationId xmlns:a16="http://schemas.microsoft.com/office/drawing/2014/main" id="{2332896A-3372-814A-A171-CF080A30A4DB}"/>
            </a:ext>
          </a:extLst>
        </xdr:cNvPr>
        <xdr:cNvSpPr>
          <a:spLocks noChangeShapeType="1"/>
        </xdr:cNvSpPr>
      </xdr:nvSpPr>
      <xdr:spPr bwMode="auto">
        <a:xfrm flipV="1">
          <a:off x="2159000" y="9067800"/>
          <a:ext cx="0" cy="1905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292100</xdr:colOff>
      <xdr:row>33</xdr:row>
      <xdr:rowOff>12700</xdr:rowOff>
    </xdr:from>
    <xdr:to>
      <xdr:col>10</xdr:col>
      <xdr:colOff>292100</xdr:colOff>
      <xdr:row>34</xdr:row>
      <xdr:rowOff>0</xdr:rowOff>
    </xdr:to>
    <xdr:sp macro="" textlink="">
      <xdr:nvSpPr>
        <xdr:cNvPr id="8422" name="Line 21">
          <a:extLst>
            <a:ext uri="{FF2B5EF4-FFF2-40B4-BE49-F238E27FC236}">
              <a16:creationId xmlns:a16="http://schemas.microsoft.com/office/drawing/2014/main" id="{B9A391AC-AA27-AC4C-9AF0-0848A667FF4E}"/>
            </a:ext>
          </a:extLst>
        </xdr:cNvPr>
        <xdr:cNvSpPr>
          <a:spLocks noChangeShapeType="1"/>
        </xdr:cNvSpPr>
      </xdr:nvSpPr>
      <xdr:spPr bwMode="auto">
        <a:xfrm>
          <a:off x="7543800" y="9067800"/>
          <a:ext cx="0" cy="2032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393700</xdr:colOff>
      <xdr:row>22</xdr:row>
      <xdr:rowOff>76200</xdr:rowOff>
    </xdr:from>
    <xdr:to>
      <xdr:col>4</xdr:col>
      <xdr:colOff>685800</xdr:colOff>
      <xdr:row>22</xdr:row>
      <xdr:rowOff>76200</xdr:rowOff>
    </xdr:to>
    <xdr:sp macro="" textlink="">
      <xdr:nvSpPr>
        <xdr:cNvPr id="8423" name="Line 22">
          <a:extLst>
            <a:ext uri="{FF2B5EF4-FFF2-40B4-BE49-F238E27FC236}">
              <a16:creationId xmlns:a16="http://schemas.microsoft.com/office/drawing/2014/main" id="{D5B7DAA5-A120-5E49-A26C-92DCF3C7E897}"/>
            </a:ext>
          </a:extLst>
        </xdr:cNvPr>
        <xdr:cNvSpPr>
          <a:spLocks noChangeShapeType="1"/>
        </xdr:cNvSpPr>
      </xdr:nvSpPr>
      <xdr:spPr bwMode="auto">
        <a:xfrm flipH="1" flipV="1">
          <a:off x="3086100" y="5232400"/>
          <a:ext cx="292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22</xdr:row>
      <xdr:rowOff>76200</xdr:rowOff>
    </xdr:from>
    <xdr:to>
      <xdr:col>4</xdr:col>
      <xdr:colOff>393700</xdr:colOff>
      <xdr:row>22</xdr:row>
      <xdr:rowOff>165100</xdr:rowOff>
    </xdr:to>
    <xdr:sp macro="" textlink="">
      <xdr:nvSpPr>
        <xdr:cNvPr id="8424" name="Line 23">
          <a:extLst>
            <a:ext uri="{FF2B5EF4-FFF2-40B4-BE49-F238E27FC236}">
              <a16:creationId xmlns:a16="http://schemas.microsoft.com/office/drawing/2014/main" id="{A005C79C-218F-2B40-A3DB-109988CA166C}"/>
            </a:ext>
          </a:extLst>
        </xdr:cNvPr>
        <xdr:cNvSpPr>
          <a:spLocks noChangeShapeType="1"/>
        </xdr:cNvSpPr>
      </xdr:nvSpPr>
      <xdr:spPr bwMode="auto">
        <a:xfrm flipH="1">
          <a:off x="3086100" y="5232400"/>
          <a:ext cx="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381000</xdr:colOff>
      <xdr:row>39</xdr:row>
      <xdr:rowOff>101600</xdr:rowOff>
    </xdr:from>
    <xdr:to>
      <xdr:col>4</xdr:col>
      <xdr:colOff>381000</xdr:colOff>
      <xdr:row>40</xdr:row>
      <xdr:rowOff>12700</xdr:rowOff>
    </xdr:to>
    <xdr:sp macro="" textlink="">
      <xdr:nvSpPr>
        <xdr:cNvPr id="8425" name="Line 24">
          <a:extLst>
            <a:ext uri="{FF2B5EF4-FFF2-40B4-BE49-F238E27FC236}">
              <a16:creationId xmlns:a16="http://schemas.microsoft.com/office/drawing/2014/main" id="{585A55E2-8CBC-4E4A-90C1-F348514FB37F}"/>
            </a:ext>
          </a:extLst>
        </xdr:cNvPr>
        <xdr:cNvSpPr>
          <a:spLocks noChangeShapeType="1"/>
        </xdr:cNvSpPr>
      </xdr:nvSpPr>
      <xdr:spPr bwMode="auto">
        <a:xfrm flipH="1">
          <a:off x="3073400" y="10261600"/>
          <a:ext cx="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393700</xdr:colOff>
      <xdr:row>39</xdr:row>
      <xdr:rowOff>88900</xdr:rowOff>
    </xdr:from>
    <xdr:to>
      <xdr:col>4</xdr:col>
      <xdr:colOff>685800</xdr:colOff>
      <xdr:row>39</xdr:row>
      <xdr:rowOff>88900</xdr:rowOff>
    </xdr:to>
    <xdr:sp macro="" textlink="">
      <xdr:nvSpPr>
        <xdr:cNvPr id="8426" name="Line 26">
          <a:extLst>
            <a:ext uri="{FF2B5EF4-FFF2-40B4-BE49-F238E27FC236}">
              <a16:creationId xmlns:a16="http://schemas.microsoft.com/office/drawing/2014/main" id="{C51F27CA-01D9-2C43-BCE1-21610F2C72EB}"/>
            </a:ext>
          </a:extLst>
        </xdr:cNvPr>
        <xdr:cNvSpPr>
          <a:spLocks noChangeShapeType="1"/>
        </xdr:cNvSpPr>
      </xdr:nvSpPr>
      <xdr:spPr bwMode="auto">
        <a:xfrm flipH="1" flipV="1">
          <a:off x="3086100" y="10248900"/>
          <a:ext cx="292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152400</xdr:colOff>
      <xdr:row>4</xdr:row>
      <xdr:rowOff>101600</xdr:rowOff>
    </xdr:from>
    <xdr:to>
      <xdr:col>2</xdr:col>
      <xdr:colOff>457200</xdr:colOff>
      <xdr:row>6</xdr:row>
      <xdr:rowOff>0</xdr:rowOff>
    </xdr:to>
    <xdr:sp macro="" textlink="">
      <xdr:nvSpPr>
        <xdr:cNvPr id="106347" name="Rectangle 1">
          <a:extLst>
            <a:ext uri="{FF2B5EF4-FFF2-40B4-BE49-F238E27FC236}">
              <a16:creationId xmlns:a16="http://schemas.microsoft.com/office/drawing/2014/main" id="{FD4EBED5-F316-A740-950C-52EDEE065980}"/>
            </a:ext>
          </a:extLst>
        </xdr:cNvPr>
        <xdr:cNvSpPr>
          <a:spLocks noChangeArrowheads="1"/>
        </xdr:cNvSpPr>
      </xdr:nvSpPr>
      <xdr:spPr bwMode="auto">
        <a:xfrm rot="-1662453">
          <a:off x="1498600" y="825500"/>
          <a:ext cx="304800" cy="228600"/>
        </a:xfrm>
        <a:prstGeom prst="rect">
          <a:avLst/>
        </a:prstGeom>
        <a:solidFill>
          <a:srgbClr val="3366FF"/>
        </a:solidFill>
        <a:ln w="9525">
          <a:solidFill>
            <a:srgbClr val="000000"/>
          </a:solidFill>
          <a:miter lim="800000"/>
          <a:headEnd/>
          <a:tailEnd/>
        </a:ln>
      </xdr:spPr>
    </xdr:sp>
    <xdr:clientData/>
  </xdr:twoCellAnchor>
  <xdr:twoCellAnchor>
    <xdr:from>
      <xdr:col>2</xdr:col>
      <xdr:colOff>190500</xdr:colOff>
      <xdr:row>3</xdr:row>
      <xdr:rowOff>101600</xdr:rowOff>
    </xdr:from>
    <xdr:to>
      <xdr:col>2</xdr:col>
      <xdr:colOff>190500</xdr:colOff>
      <xdr:row>4</xdr:row>
      <xdr:rowOff>114300</xdr:rowOff>
    </xdr:to>
    <xdr:sp macro="" textlink="">
      <xdr:nvSpPr>
        <xdr:cNvPr id="106348" name="Line 2">
          <a:extLst>
            <a:ext uri="{FF2B5EF4-FFF2-40B4-BE49-F238E27FC236}">
              <a16:creationId xmlns:a16="http://schemas.microsoft.com/office/drawing/2014/main" id="{2E8FDD94-66C4-7F4E-8848-4237A649042A}"/>
            </a:ext>
          </a:extLst>
        </xdr:cNvPr>
        <xdr:cNvSpPr>
          <a:spLocks noChangeShapeType="1"/>
        </xdr:cNvSpPr>
      </xdr:nvSpPr>
      <xdr:spPr bwMode="auto">
        <a:xfrm rot="-1651313">
          <a:off x="1536700" y="660400"/>
          <a:ext cx="0" cy="177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12700</xdr:colOff>
      <xdr:row>20</xdr:row>
      <xdr:rowOff>50800</xdr:rowOff>
    </xdr:from>
    <xdr:to>
      <xdr:col>2</xdr:col>
      <xdr:colOff>596900</xdr:colOff>
      <xdr:row>20</xdr:row>
      <xdr:rowOff>139700</xdr:rowOff>
    </xdr:to>
    <xdr:sp macro="" textlink="">
      <xdr:nvSpPr>
        <xdr:cNvPr id="106349" name="AutoShape 5">
          <a:extLst>
            <a:ext uri="{FF2B5EF4-FFF2-40B4-BE49-F238E27FC236}">
              <a16:creationId xmlns:a16="http://schemas.microsoft.com/office/drawing/2014/main" id="{5BB5E448-0862-F644-880C-B5A41912ADC8}"/>
            </a:ext>
          </a:extLst>
        </xdr:cNvPr>
        <xdr:cNvSpPr>
          <a:spLocks noChangeArrowheads="1"/>
        </xdr:cNvSpPr>
      </xdr:nvSpPr>
      <xdr:spPr bwMode="auto">
        <a:xfrm rot="-6288120">
          <a:off x="1606550" y="3168650"/>
          <a:ext cx="88900" cy="584200"/>
        </a:xfrm>
        <a:prstGeom prst="moon">
          <a:avLst>
            <a:gd name="adj" fmla="val 50000"/>
          </a:avLst>
        </a:prstGeom>
        <a:solidFill>
          <a:srgbClr val="969696"/>
        </a:solidFill>
        <a:ln w="9525">
          <a:solidFill>
            <a:srgbClr val="000000"/>
          </a:solidFill>
          <a:miter lim="800000"/>
          <a:headEnd/>
          <a:tailEnd/>
        </a:ln>
      </xdr:spPr>
    </xdr:sp>
    <xdr:clientData/>
  </xdr:twoCellAnchor>
  <xdr:twoCellAnchor>
    <xdr:from>
      <xdr:col>2</xdr:col>
      <xdr:colOff>279400</xdr:colOff>
      <xdr:row>5</xdr:row>
      <xdr:rowOff>38100</xdr:rowOff>
    </xdr:from>
    <xdr:to>
      <xdr:col>2</xdr:col>
      <xdr:colOff>292100</xdr:colOff>
      <xdr:row>20</xdr:row>
      <xdr:rowOff>76200</xdr:rowOff>
    </xdr:to>
    <xdr:sp macro="" textlink="">
      <xdr:nvSpPr>
        <xdr:cNvPr id="106350" name="Line 6">
          <a:extLst>
            <a:ext uri="{FF2B5EF4-FFF2-40B4-BE49-F238E27FC236}">
              <a16:creationId xmlns:a16="http://schemas.microsoft.com/office/drawing/2014/main" id="{06B98088-25B5-E644-B968-E88CAB766832}"/>
            </a:ext>
          </a:extLst>
        </xdr:cNvPr>
        <xdr:cNvSpPr>
          <a:spLocks noChangeShapeType="1"/>
        </xdr:cNvSpPr>
      </xdr:nvSpPr>
      <xdr:spPr bwMode="auto">
        <a:xfrm flipH="1">
          <a:off x="1625600" y="927100"/>
          <a:ext cx="12700" cy="2514600"/>
        </a:xfrm>
        <a:prstGeom prst="line">
          <a:avLst/>
        </a:prstGeom>
        <a:noFill/>
        <a:ln w="28575">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292100</xdr:colOff>
      <xdr:row>5</xdr:row>
      <xdr:rowOff>38100</xdr:rowOff>
    </xdr:from>
    <xdr:to>
      <xdr:col>3</xdr:col>
      <xdr:colOff>342900</xdr:colOff>
      <xdr:row>13</xdr:row>
      <xdr:rowOff>127000</xdr:rowOff>
    </xdr:to>
    <xdr:sp macro="" textlink="">
      <xdr:nvSpPr>
        <xdr:cNvPr id="106351" name="Line 7">
          <a:extLst>
            <a:ext uri="{FF2B5EF4-FFF2-40B4-BE49-F238E27FC236}">
              <a16:creationId xmlns:a16="http://schemas.microsoft.com/office/drawing/2014/main" id="{6948D767-0CB0-7444-B1E5-FE4218A003C2}"/>
            </a:ext>
          </a:extLst>
        </xdr:cNvPr>
        <xdr:cNvSpPr>
          <a:spLocks noChangeShapeType="1"/>
        </xdr:cNvSpPr>
      </xdr:nvSpPr>
      <xdr:spPr bwMode="auto">
        <a:xfrm>
          <a:off x="1638300" y="927100"/>
          <a:ext cx="723900" cy="14097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622300</xdr:colOff>
      <xdr:row>11</xdr:row>
      <xdr:rowOff>63500</xdr:rowOff>
    </xdr:from>
    <xdr:to>
      <xdr:col>2</xdr:col>
      <xdr:colOff>266700</xdr:colOff>
      <xdr:row>20</xdr:row>
      <xdr:rowOff>63500</xdr:rowOff>
    </xdr:to>
    <xdr:sp macro="" textlink="">
      <xdr:nvSpPr>
        <xdr:cNvPr id="106352" name="Line 8">
          <a:extLst>
            <a:ext uri="{FF2B5EF4-FFF2-40B4-BE49-F238E27FC236}">
              <a16:creationId xmlns:a16="http://schemas.microsoft.com/office/drawing/2014/main" id="{DDD00811-39CC-894A-99A5-8700DAE0A660}"/>
            </a:ext>
          </a:extLst>
        </xdr:cNvPr>
        <xdr:cNvSpPr>
          <a:spLocks noChangeShapeType="1"/>
        </xdr:cNvSpPr>
      </xdr:nvSpPr>
      <xdr:spPr bwMode="auto">
        <a:xfrm flipH="1" flipV="1">
          <a:off x="1295400" y="1943100"/>
          <a:ext cx="317500" cy="14859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2</xdr:col>
      <xdr:colOff>555625</xdr:colOff>
      <xdr:row>12</xdr:row>
      <xdr:rowOff>85725</xdr:rowOff>
    </xdr:from>
    <xdr:ext cx="144848" cy="170560"/>
    <xdr:sp macro="" textlink="">
      <xdr:nvSpPr>
        <xdr:cNvPr id="10249" name="Text Box 9">
          <a:extLst>
            <a:ext uri="{FF2B5EF4-FFF2-40B4-BE49-F238E27FC236}">
              <a16:creationId xmlns:a16="http://schemas.microsoft.com/office/drawing/2014/main" id="{7B58B72D-0EE5-0746-8F1C-E407DECC1B04}"/>
            </a:ext>
          </a:extLst>
        </xdr:cNvPr>
        <xdr:cNvSpPr txBox="1">
          <a:spLocks noChangeArrowheads="1"/>
        </xdr:cNvSpPr>
      </xdr:nvSpPr>
      <xdr:spPr bwMode="auto">
        <a:xfrm>
          <a:off x="1901825" y="2130425"/>
          <a:ext cx="14484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2</a:t>
          </a:r>
        </a:p>
      </xdr:txBody>
    </xdr:sp>
    <xdr:clientData/>
  </xdr:oneCellAnchor>
  <xdr:twoCellAnchor>
    <xdr:from>
      <xdr:col>2</xdr:col>
      <xdr:colOff>317500</xdr:colOff>
      <xdr:row>13</xdr:row>
      <xdr:rowOff>63500</xdr:rowOff>
    </xdr:from>
    <xdr:to>
      <xdr:col>2</xdr:col>
      <xdr:colOff>533400</xdr:colOff>
      <xdr:row>13</xdr:row>
      <xdr:rowOff>127000</xdr:rowOff>
    </xdr:to>
    <xdr:sp macro="" textlink="">
      <xdr:nvSpPr>
        <xdr:cNvPr id="106354" name="Line 10">
          <a:extLst>
            <a:ext uri="{FF2B5EF4-FFF2-40B4-BE49-F238E27FC236}">
              <a16:creationId xmlns:a16="http://schemas.microsoft.com/office/drawing/2014/main" id="{C0D09FA8-9848-474F-A2CE-7F90BA86EFA1}"/>
            </a:ext>
          </a:extLst>
        </xdr:cNvPr>
        <xdr:cNvSpPr>
          <a:spLocks noChangeShapeType="1"/>
        </xdr:cNvSpPr>
      </xdr:nvSpPr>
      <xdr:spPr bwMode="auto">
        <a:xfrm flipH="1">
          <a:off x="1663700" y="2273300"/>
          <a:ext cx="215900" cy="63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xdr:colOff>
      <xdr:row>12</xdr:row>
      <xdr:rowOff>63500</xdr:rowOff>
    </xdr:from>
    <xdr:to>
      <xdr:col>3</xdr:col>
      <xdr:colOff>190500</xdr:colOff>
      <xdr:row>12</xdr:row>
      <xdr:rowOff>139700</xdr:rowOff>
    </xdr:to>
    <xdr:sp macro="" textlink="">
      <xdr:nvSpPr>
        <xdr:cNvPr id="106355" name="Line 11">
          <a:extLst>
            <a:ext uri="{FF2B5EF4-FFF2-40B4-BE49-F238E27FC236}">
              <a16:creationId xmlns:a16="http://schemas.microsoft.com/office/drawing/2014/main" id="{06A2A89F-DCC6-7146-9949-A2747F697673}"/>
            </a:ext>
          </a:extLst>
        </xdr:cNvPr>
        <xdr:cNvSpPr>
          <a:spLocks noChangeShapeType="1"/>
        </xdr:cNvSpPr>
      </xdr:nvSpPr>
      <xdr:spPr bwMode="auto">
        <a:xfrm flipV="1">
          <a:off x="2057400" y="2108200"/>
          <a:ext cx="152400" cy="76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xdr:col>
      <xdr:colOff>28575</xdr:colOff>
      <xdr:row>11</xdr:row>
      <xdr:rowOff>76200</xdr:rowOff>
    </xdr:from>
    <xdr:ext cx="156919" cy="170560"/>
    <xdr:sp macro="" textlink="">
      <xdr:nvSpPr>
        <xdr:cNvPr id="10252" name="Text Box 12">
          <a:extLst>
            <a:ext uri="{FF2B5EF4-FFF2-40B4-BE49-F238E27FC236}">
              <a16:creationId xmlns:a16="http://schemas.microsoft.com/office/drawing/2014/main" id="{C5A0E331-90F5-4D44-8906-819E1379C1CE}"/>
            </a:ext>
          </a:extLst>
        </xdr:cNvPr>
        <xdr:cNvSpPr txBox="1">
          <a:spLocks noChangeArrowheads="1"/>
        </xdr:cNvSpPr>
      </xdr:nvSpPr>
      <xdr:spPr bwMode="auto">
        <a:xfrm>
          <a:off x="1247775" y="1933575"/>
          <a:ext cx="14484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1</a:t>
          </a:r>
        </a:p>
      </xdr:txBody>
    </xdr:sp>
    <xdr:clientData/>
  </xdr:oneCellAnchor>
  <xdr:twoCellAnchor>
    <xdr:from>
      <xdr:col>2</xdr:col>
      <xdr:colOff>203200</xdr:colOff>
      <xdr:row>11</xdr:row>
      <xdr:rowOff>76200</xdr:rowOff>
    </xdr:from>
    <xdr:to>
      <xdr:col>2</xdr:col>
      <xdr:colOff>304800</xdr:colOff>
      <xdr:row>11</xdr:row>
      <xdr:rowOff>101600</xdr:rowOff>
    </xdr:to>
    <xdr:sp macro="" textlink="">
      <xdr:nvSpPr>
        <xdr:cNvPr id="106357" name="Line 13">
          <a:extLst>
            <a:ext uri="{FF2B5EF4-FFF2-40B4-BE49-F238E27FC236}">
              <a16:creationId xmlns:a16="http://schemas.microsoft.com/office/drawing/2014/main" id="{8A678C61-B47A-BA4B-91F1-ADDD71A06684}"/>
            </a:ext>
          </a:extLst>
        </xdr:cNvPr>
        <xdr:cNvSpPr>
          <a:spLocks noChangeShapeType="1"/>
        </xdr:cNvSpPr>
      </xdr:nvSpPr>
      <xdr:spPr bwMode="auto">
        <a:xfrm flipV="1">
          <a:off x="1549400" y="1955800"/>
          <a:ext cx="101600" cy="2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647700</xdr:colOff>
      <xdr:row>12</xdr:row>
      <xdr:rowOff>0</xdr:rowOff>
    </xdr:from>
    <xdr:to>
      <xdr:col>2</xdr:col>
      <xdr:colOff>38100</xdr:colOff>
      <xdr:row>12</xdr:row>
      <xdr:rowOff>25400</xdr:rowOff>
    </xdr:to>
    <xdr:sp macro="" textlink="">
      <xdr:nvSpPr>
        <xdr:cNvPr id="106358" name="Line 14">
          <a:extLst>
            <a:ext uri="{FF2B5EF4-FFF2-40B4-BE49-F238E27FC236}">
              <a16:creationId xmlns:a16="http://schemas.microsoft.com/office/drawing/2014/main" id="{7A08EF4B-0CBB-5A42-9045-891D33A99568}"/>
            </a:ext>
          </a:extLst>
        </xdr:cNvPr>
        <xdr:cNvSpPr>
          <a:spLocks noChangeShapeType="1"/>
        </xdr:cNvSpPr>
      </xdr:nvSpPr>
      <xdr:spPr bwMode="auto">
        <a:xfrm flipH="1">
          <a:off x="1320800" y="2044700"/>
          <a:ext cx="63500" cy="2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165100</xdr:colOff>
      <xdr:row>20</xdr:row>
      <xdr:rowOff>152400</xdr:rowOff>
    </xdr:from>
    <xdr:to>
      <xdr:col>2</xdr:col>
      <xdr:colOff>381000</xdr:colOff>
      <xdr:row>22</xdr:row>
      <xdr:rowOff>63500</xdr:rowOff>
    </xdr:to>
    <xdr:sp macro="" textlink="">
      <xdr:nvSpPr>
        <xdr:cNvPr id="106359" name="AutoShape 15">
          <a:extLst>
            <a:ext uri="{FF2B5EF4-FFF2-40B4-BE49-F238E27FC236}">
              <a16:creationId xmlns:a16="http://schemas.microsoft.com/office/drawing/2014/main" id="{7388F25B-EFE8-E34D-B17F-665D9AA84F3D}"/>
            </a:ext>
          </a:extLst>
        </xdr:cNvPr>
        <xdr:cNvSpPr>
          <a:spLocks noChangeArrowheads="1"/>
        </xdr:cNvSpPr>
      </xdr:nvSpPr>
      <xdr:spPr bwMode="auto">
        <a:xfrm>
          <a:off x="1511300" y="3517900"/>
          <a:ext cx="215900" cy="241300"/>
        </a:xfrm>
        <a:prstGeom prst="triangle">
          <a:avLst>
            <a:gd name="adj" fmla="val 50000"/>
          </a:avLst>
        </a:prstGeom>
        <a:solidFill>
          <a:srgbClr val="969696"/>
        </a:solidFill>
        <a:ln w="9525">
          <a:solidFill>
            <a:srgbClr val="000000"/>
          </a:solidFill>
          <a:miter lim="800000"/>
          <a:headEnd/>
          <a:tailEnd/>
        </a:ln>
      </xdr:spPr>
    </xdr:sp>
    <xdr:clientData/>
  </xdr:twoCellAnchor>
  <xdr:twoCellAnchor>
    <xdr:from>
      <xdr:col>1</xdr:col>
      <xdr:colOff>508000</xdr:colOff>
      <xdr:row>5</xdr:row>
      <xdr:rowOff>114300</xdr:rowOff>
    </xdr:from>
    <xdr:to>
      <xdr:col>2</xdr:col>
      <xdr:colOff>152400</xdr:colOff>
      <xdr:row>6</xdr:row>
      <xdr:rowOff>101600</xdr:rowOff>
    </xdr:to>
    <xdr:sp macro="" textlink="">
      <xdr:nvSpPr>
        <xdr:cNvPr id="106360" name="Line 16">
          <a:extLst>
            <a:ext uri="{FF2B5EF4-FFF2-40B4-BE49-F238E27FC236}">
              <a16:creationId xmlns:a16="http://schemas.microsoft.com/office/drawing/2014/main" id="{2F33C4BC-53E9-A347-A37E-0DF13ECEAB9E}"/>
            </a:ext>
          </a:extLst>
        </xdr:cNvPr>
        <xdr:cNvSpPr>
          <a:spLocks noChangeShapeType="1"/>
        </xdr:cNvSpPr>
      </xdr:nvSpPr>
      <xdr:spPr bwMode="auto">
        <a:xfrm flipH="1">
          <a:off x="1181100" y="1003300"/>
          <a:ext cx="31750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444500</xdr:colOff>
      <xdr:row>3</xdr:row>
      <xdr:rowOff>139700</xdr:rowOff>
    </xdr:from>
    <xdr:to>
      <xdr:col>3</xdr:col>
      <xdr:colOff>88900</xdr:colOff>
      <xdr:row>4</xdr:row>
      <xdr:rowOff>139700</xdr:rowOff>
    </xdr:to>
    <xdr:sp macro="" textlink="">
      <xdr:nvSpPr>
        <xdr:cNvPr id="106361" name="Line 17">
          <a:extLst>
            <a:ext uri="{FF2B5EF4-FFF2-40B4-BE49-F238E27FC236}">
              <a16:creationId xmlns:a16="http://schemas.microsoft.com/office/drawing/2014/main" id="{3DACFC6A-A751-9B49-BAFD-31D61D1A8ED0}"/>
            </a:ext>
          </a:extLst>
        </xdr:cNvPr>
        <xdr:cNvSpPr>
          <a:spLocks noChangeShapeType="1"/>
        </xdr:cNvSpPr>
      </xdr:nvSpPr>
      <xdr:spPr bwMode="auto">
        <a:xfrm flipH="1">
          <a:off x="1790700" y="698500"/>
          <a:ext cx="317500" cy="165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279400</xdr:colOff>
      <xdr:row>5</xdr:row>
      <xdr:rowOff>152400</xdr:rowOff>
    </xdr:from>
    <xdr:to>
      <xdr:col>2</xdr:col>
      <xdr:colOff>508000</xdr:colOff>
      <xdr:row>6</xdr:row>
      <xdr:rowOff>63500</xdr:rowOff>
    </xdr:to>
    <xdr:sp macro="" textlink="">
      <xdr:nvSpPr>
        <xdr:cNvPr id="106362" name="AutoShape 18">
          <a:extLst>
            <a:ext uri="{FF2B5EF4-FFF2-40B4-BE49-F238E27FC236}">
              <a16:creationId xmlns:a16="http://schemas.microsoft.com/office/drawing/2014/main" id="{D091C0E5-FB33-BB47-B816-B20851342678}"/>
            </a:ext>
          </a:extLst>
        </xdr:cNvPr>
        <xdr:cNvSpPr>
          <a:spLocks noChangeArrowheads="1"/>
        </xdr:cNvSpPr>
      </xdr:nvSpPr>
      <xdr:spPr bwMode="auto">
        <a:xfrm rot="3473625">
          <a:off x="1701800" y="965200"/>
          <a:ext cx="76200" cy="228600"/>
        </a:xfrm>
        <a:prstGeom prst="moon">
          <a:avLst>
            <a:gd name="adj" fmla="val 50000"/>
          </a:avLst>
        </a:prstGeom>
        <a:solidFill>
          <a:srgbClr val="FFFFFF"/>
        </a:solidFill>
        <a:ln w="9525">
          <a:solidFill>
            <a:srgbClr val="000000"/>
          </a:solidFill>
          <a:miter lim="800000"/>
          <a:headEnd/>
          <a:tailEnd/>
        </a:ln>
      </xdr:spPr>
    </xdr:sp>
    <xdr:clientData/>
  </xdr:twoCellAnchor>
  <xdr:twoCellAnchor>
    <xdr:from>
      <xdr:col>6</xdr:col>
      <xdr:colOff>127000</xdr:colOff>
      <xdr:row>4</xdr:row>
      <xdr:rowOff>88900</xdr:rowOff>
    </xdr:from>
    <xdr:to>
      <xdr:col>6</xdr:col>
      <xdr:colOff>431800</xdr:colOff>
      <xdr:row>5</xdr:row>
      <xdr:rowOff>152400</xdr:rowOff>
    </xdr:to>
    <xdr:sp macro="" textlink="">
      <xdr:nvSpPr>
        <xdr:cNvPr id="106363" name="Rectangle 19">
          <a:extLst>
            <a:ext uri="{FF2B5EF4-FFF2-40B4-BE49-F238E27FC236}">
              <a16:creationId xmlns:a16="http://schemas.microsoft.com/office/drawing/2014/main" id="{B7904024-AB55-C441-8DDC-2E5AAF9CFB99}"/>
            </a:ext>
          </a:extLst>
        </xdr:cNvPr>
        <xdr:cNvSpPr>
          <a:spLocks noChangeArrowheads="1"/>
        </xdr:cNvSpPr>
      </xdr:nvSpPr>
      <xdr:spPr bwMode="auto">
        <a:xfrm rot="-1662453">
          <a:off x="4241800" y="812800"/>
          <a:ext cx="304800" cy="228600"/>
        </a:xfrm>
        <a:prstGeom prst="rect">
          <a:avLst/>
        </a:prstGeom>
        <a:solidFill>
          <a:srgbClr val="3366FF"/>
        </a:solidFill>
        <a:ln w="9525">
          <a:solidFill>
            <a:srgbClr val="000000"/>
          </a:solidFill>
          <a:miter lim="800000"/>
          <a:headEnd/>
          <a:tailEnd/>
        </a:ln>
      </xdr:spPr>
    </xdr:sp>
    <xdr:clientData/>
  </xdr:twoCellAnchor>
  <xdr:twoCellAnchor>
    <xdr:from>
      <xdr:col>6</xdr:col>
      <xdr:colOff>165100</xdr:colOff>
      <xdr:row>3</xdr:row>
      <xdr:rowOff>101600</xdr:rowOff>
    </xdr:from>
    <xdr:to>
      <xdr:col>6</xdr:col>
      <xdr:colOff>165100</xdr:colOff>
      <xdr:row>4</xdr:row>
      <xdr:rowOff>101600</xdr:rowOff>
    </xdr:to>
    <xdr:sp macro="" textlink="">
      <xdr:nvSpPr>
        <xdr:cNvPr id="106364" name="Line 20">
          <a:extLst>
            <a:ext uri="{FF2B5EF4-FFF2-40B4-BE49-F238E27FC236}">
              <a16:creationId xmlns:a16="http://schemas.microsoft.com/office/drawing/2014/main" id="{280D19B1-CBA0-A34C-8802-EC6885C57829}"/>
            </a:ext>
          </a:extLst>
        </xdr:cNvPr>
        <xdr:cNvSpPr>
          <a:spLocks noChangeShapeType="1"/>
        </xdr:cNvSpPr>
      </xdr:nvSpPr>
      <xdr:spPr bwMode="auto">
        <a:xfrm rot="-1651313">
          <a:off x="4279900" y="660400"/>
          <a:ext cx="0" cy="1651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660400</xdr:colOff>
      <xdr:row>20</xdr:row>
      <xdr:rowOff>38100</xdr:rowOff>
    </xdr:from>
    <xdr:to>
      <xdr:col>6</xdr:col>
      <xdr:colOff>571500</xdr:colOff>
      <xdr:row>20</xdr:row>
      <xdr:rowOff>127000</xdr:rowOff>
    </xdr:to>
    <xdr:sp macro="" textlink="">
      <xdr:nvSpPr>
        <xdr:cNvPr id="106365" name="AutoShape 21">
          <a:extLst>
            <a:ext uri="{FF2B5EF4-FFF2-40B4-BE49-F238E27FC236}">
              <a16:creationId xmlns:a16="http://schemas.microsoft.com/office/drawing/2014/main" id="{23B56DEF-9B83-4946-A7BD-8887057DA36E}"/>
            </a:ext>
          </a:extLst>
        </xdr:cNvPr>
        <xdr:cNvSpPr>
          <a:spLocks noChangeArrowheads="1"/>
        </xdr:cNvSpPr>
      </xdr:nvSpPr>
      <xdr:spPr bwMode="auto">
        <a:xfrm rot="-6288120">
          <a:off x="4349750" y="3155950"/>
          <a:ext cx="88900" cy="584200"/>
        </a:xfrm>
        <a:prstGeom prst="moon">
          <a:avLst>
            <a:gd name="adj" fmla="val 50000"/>
          </a:avLst>
        </a:prstGeom>
        <a:solidFill>
          <a:srgbClr val="969696"/>
        </a:solidFill>
        <a:ln w="9525">
          <a:solidFill>
            <a:srgbClr val="000000"/>
          </a:solidFill>
          <a:miter lim="800000"/>
          <a:headEnd/>
          <a:tailEnd/>
        </a:ln>
      </xdr:spPr>
    </xdr:sp>
    <xdr:clientData/>
  </xdr:twoCellAnchor>
  <xdr:twoCellAnchor>
    <xdr:from>
      <xdr:col>6</xdr:col>
      <xdr:colOff>266700</xdr:colOff>
      <xdr:row>5</xdr:row>
      <xdr:rowOff>25400</xdr:rowOff>
    </xdr:from>
    <xdr:to>
      <xdr:col>6</xdr:col>
      <xdr:colOff>279400</xdr:colOff>
      <xdr:row>20</xdr:row>
      <xdr:rowOff>63500</xdr:rowOff>
    </xdr:to>
    <xdr:sp macro="" textlink="">
      <xdr:nvSpPr>
        <xdr:cNvPr id="106366" name="Line 22">
          <a:extLst>
            <a:ext uri="{FF2B5EF4-FFF2-40B4-BE49-F238E27FC236}">
              <a16:creationId xmlns:a16="http://schemas.microsoft.com/office/drawing/2014/main" id="{6A22FE6D-502A-D64E-A000-8BE4BCB0A81E}"/>
            </a:ext>
          </a:extLst>
        </xdr:cNvPr>
        <xdr:cNvSpPr>
          <a:spLocks noChangeShapeType="1"/>
        </xdr:cNvSpPr>
      </xdr:nvSpPr>
      <xdr:spPr bwMode="auto">
        <a:xfrm flipH="1">
          <a:off x="4381500" y="914400"/>
          <a:ext cx="12700" cy="251460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279400</xdr:colOff>
      <xdr:row>5</xdr:row>
      <xdr:rowOff>25400</xdr:rowOff>
    </xdr:from>
    <xdr:to>
      <xdr:col>7</xdr:col>
      <xdr:colOff>317500</xdr:colOff>
      <xdr:row>13</xdr:row>
      <xdr:rowOff>114300</xdr:rowOff>
    </xdr:to>
    <xdr:sp macro="" textlink="">
      <xdr:nvSpPr>
        <xdr:cNvPr id="106367" name="Line 23">
          <a:extLst>
            <a:ext uri="{FF2B5EF4-FFF2-40B4-BE49-F238E27FC236}">
              <a16:creationId xmlns:a16="http://schemas.microsoft.com/office/drawing/2014/main" id="{EA7EBAD8-FAB3-E345-9A3A-9EEF7E1488AE}"/>
            </a:ext>
          </a:extLst>
        </xdr:cNvPr>
        <xdr:cNvSpPr>
          <a:spLocks noChangeShapeType="1"/>
        </xdr:cNvSpPr>
      </xdr:nvSpPr>
      <xdr:spPr bwMode="auto">
        <a:xfrm>
          <a:off x="4394200" y="914400"/>
          <a:ext cx="711200" cy="14097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596900</xdr:colOff>
      <xdr:row>11</xdr:row>
      <xdr:rowOff>63500</xdr:rowOff>
    </xdr:from>
    <xdr:to>
      <xdr:col>6</xdr:col>
      <xdr:colOff>241300</xdr:colOff>
      <xdr:row>20</xdr:row>
      <xdr:rowOff>63500</xdr:rowOff>
    </xdr:to>
    <xdr:sp macro="" textlink="">
      <xdr:nvSpPr>
        <xdr:cNvPr id="106368" name="Line 24">
          <a:extLst>
            <a:ext uri="{FF2B5EF4-FFF2-40B4-BE49-F238E27FC236}">
              <a16:creationId xmlns:a16="http://schemas.microsoft.com/office/drawing/2014/main" id="{AC9C2EF0-562E-4144-993E-CFC103F60CD6}"/>
            </a:ext>
          </a:extLst>
        </xdr:cNvPr>
        <xdr:cNvSpPr>
          <a:spLocks noChangeShapeType="1"/>
        </xdr:cNvSpPr>
      </xdr:nvSpPr>
      <xdr:spPr bwMode="auto">
        <a:xfrm flipH="1" flipV="1">
          <a:off x="4038600" y="1943100"/>
          <a:ext cx="317500" cy="14859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6</xdr:col>
      <xdr:colOff>536575</xdr:colOff>
      <xdr:row>12</xdr:row>
      <xdr:rowOff>76200</xdr:rowOff>
    </xdr:from>
    <xdr:ext cx="144848" cy="170560"/>
    <xdr:sp macro="" textlink="">
      <xdr:nvSpPr>
        <xdr:cNvPr id="10265" name="Text Box 25">
          <a:extLst>
            <a:ext uri="{FF2B5EF4-FFF2-40B4-BE49-F238E27FC236}">
              <a16:creationId xmlns:a16="http://schemas.microsoft.com/office/drawing/2014/main" id="{D5850463-825B-484A-9045-BAB5B87C7ED5}"/>
            </a:ext>
          </a:extLst>
        </xdr:cNvPr>
        <xdr:cNvSpPr txBox="1">
          <a:spLocks noChangeArrowheads="1"/>
        </xdr:cNvSpPr>
      </xdr:nvSpPr>
      <xdr:spPr bwMode="auto">
        <a:xfrm>
          <a:off x="4651375" y="2120900"/>
          <a:ext cx="14484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3</a:t>
          </a:r>
        </a:p>
      </xdr:txBody>
    </xdr:sp>
    <xdr:clientData/>
  </xdr:oneCellAnchor>
  <xdr:twoCellAnchor>
    <xdr:from>
      <xdr:col>6</xdr:col>
      <xdr:colOff>292100</xdr:colOff>
      <xdr:row>13</xdr:row>
      <xdr:rowOff>50800</xdr:rowOff>
    </xdr:from>
    <xdr:to>
      <xdr:col>6</xdr:col>
      <xdr:colOff>508000</xdr:colOff>
      <xdr:row>13</xdr:row>
      <xdr:rowOff>114300</xdr:rowOff>
    </xdr:to>
    <xdr:sp macro="" textlink="">
      <xdr:nvSpPr>
        <xdr:cNvPr id="106370" name="Line 26">
          <a:extLst>
            <a:ext uri="{FF2B5EF4-FFF2-40B4-BE49-F238E27FC236}">
              <a16:creationId xmlns:a16="http://schemas.microsoft.com/office/drawing/2014/main" id="{ADFF80A3-C83B-FF4E-8A82-71C5CABBC912}"/>
            </a:ext>
          </a:extLst>
        </xdr:cNvPr>
        <xdr:cNvSpPr>
          <a:spLocks noChangeShapeType="1"/>
        </xdr:cNvSpPr>
      </xdr:nvSpPr>
      <xdr:spPr bwMode="auto">
        <a:xfrm flipH="1">
          <a:off x="4406900" y="2260600"/>
          <a:ext cx="215900" cy="63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25400</xdr:colOff>
      <xdr:row>12</xdr:row>
      <xdr:rowOff>50800</xdr:rowOff>
    </xdr:from>
    <xdr:to>
      <xdr:col>7</xdr:col>
      <xdr:colOff>177800</xdr:colOff>
      <xdr:row>12</xdr:row>
      <xdr:rowOff>127000</xdr:rowOff>
    </xdr:to>
    <xdr:sp macro="" textlink="">
      <xdr:nvSpPr>
        <xdr:cNvPr id="106371" name="Line 27">
          <a:extLst>
            <a:ext uri="{FF2B5EF4-FFF2-40B4-BE49-F238E27FC236}">
              <a16:creationId xmlns:a16="http://schemas.microsoft.com/office/drawing/2014/main" id="{63B36A21-5A61-FE4B-A457-41CCB4914410}"/>
            </a:ext>
          </a:extLst>
        </xdr:cNvPr>
        <xdr:cNvSpPr>
          <a:spLocks noChangeShapeType="1"/>
        </xdr:cNvSpPr>
      </xdr:nvSpPr>
      <xdr:spPr bwMode="auto">
        <a:xfrm flipV="1">
          <a:off x="4813300" y="2095500"/>
          <a:ext cx="152400" cy="76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6</xdr:col>
      <xdr:colOff>9525</xdr:colOff>
      <xdr:row>11</xdr:row>
      <xdr:rowOff>47625</xdr:rowOff>
    </xdr:from>
    <xdr:ext cx="158016" cy="170560"/>
    <xdr:sp macro="" textlink="">
      <xdr:nvSpPr>
        <xdr:cNvPr id="10268" name="Text Box 28">
          <a:extLst>
            <a:ext uri="{FF2B5EF4-FFF2-40B4-BE49-F238E27FC236}">
              <a16:creationId xmlns:a16="http://schemas.microsoft.com/office/drawing/2014/main" id="{BD8A7494-4AE7-124F-9858-6194C5C0A2AD}"/>
            </a:ext>
          </a:extLst>
        </xdr:cNvPr>
        <xdr:cNvSpPr txBox="1">
          <a:spLocks noChangeArrowheads="1"/>
        </xdr:cNvSpPr>
      </xdr:nvSpPr>
      <xdr:spPr bwMode="auto">
        <a:xfrm>
          <a:off x="3714750" y="1905000"/>
          <a:ext cx="14484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4</a:t>
          </a:r>
        </a:p>
      </xdr:txBody>
    </xdr:sp>
    <xdr:clientData/>
  </xdr:oneCellAnchor>
  <xdr:twoCellAnchor>
    <xdr:from>
      <xdr:col>6</xdr:col>
      <xdr:colOff>177800</xdr:colOff>
      <xdr:row>11</xdr:row>
      <xdr:rowOff>63500</xdr:rowOff>
    </xdr:from>
    <xdr:to>
      <xdr:col>6</xdr:col>
      <xdr:colOff>279400</xdr:colOff>
      <xdr:row>11</xdr:row>
      <xdr:rowOff>88900</xdr:rowOff>
    </xdr:to>
    <xdr:sp macro="" textlink="">
      <xdr:nvSpPr>
        <xdr:cNvPr id="106373" name="Line 29">
          <a:extLst>
            <a:ext uri="{FF2B5EF4-FFF2-40B4-BE49-F238E27FC236}">
              <a16:creationId xmlns:a16="http://schemas.microsoft.com/office/drawing/2014/main" id="{D4380CC5-D5F6-EE48-A79E-82C73B79A181}"/>
            </a:ext>
          </a:extLst>
        </xdr:cNvPr>
        <xdr:cNvSpPr>
          <a:spLocks noChangeShapeType="1"/>
        </xdr:cNvSpPr>
      </xdr:nvSpPr>
      <xdr:spPr bwMode="auto">
        <a:xfrm flipV="1">
          <a:off x="4292600" y="1943100"/>
          <a:ext cx="101600" cy="2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622300</xdr:colOff>
      <xdr:row>11</xdr:row>
      <xdr:rowOff>152400</xdr:rowOff>
    </xdr:from>
    <xdr:to>
      <xdr:col>6</xdr:col>
      <xdr:colOff>25400</xdr:colOff>
      <xdr:row>12</xdr:row>
      <xdr:rowOff>25400</xdr:rowOff>
    </xdr:to>
    <xdr:sp macro="" textlink="">
      <xdr:nvSpPr>
        <xdr:cNvPr id="106374" name="Line 30">
          <a:extLst>
            <a:ext uri="{FF2B5EF4-FFF2-40B4-BE49-F238E27FC236}">
              <a16:creationId xmlns:a16="http://schemas.microsoft.com/office/drawing/2014/main" id="{E530D074-3C9D-F845-A3EB-58EBC28D2BFB}"/>
            </a:ext>
          </a:extLst>
        </xdr:cNvPr>
        <xdr:cNvSpPr>
          <a:spLocks noChangeShapeType="1"/>
        </xdr:cNvSpPr>
      </xdr:nvSpPr>
      <xdr:spPr bwMode="auto">
        <a:xfrm flipH="1">
          <a:off x="4064000" y="2032000"/>
          <a:ext cx="76200" cy="38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152400</xdr:colOff>
      <xdr:row>20</xdr:row>
      <xdr:rowOff>139700</xdr:rowOff>
    </xdr:from>
    <xdr:to>
      <xdr:col>6</xdr:col>
      <xdr:colOff>355600</xdr:colOff>
      <xdr:row>22</xdr:row>
      <xdr:rowOff>50800</xdr:rowOff>
    </xdr:to>
    <xdr:sp macro="" textlink="">
      <xdr:nvSpPr>
        <xdr:cNvPr id="106375" name="AutoShape 31">
          <a:extLst>
            <a:ext uri="{FF2B5EF4-FFF2-40B4-BE49-F238E27FC236}">
              <a16:creationId xmlns:a16="http://schemas.microsoft.com/office/drawing/2014/main" id="{0FA84427-AEFB-7348-8BE1-9EBEA1385F74}"/>
            </a:ext>
          </a:extLst>
        </xdr:cNvPr>
        <xdr:cNvSpPr>
          <a:spLocks noChangeArrowheads="1"/>
        </xdr:cNvSpPr>
      </xdr:nvSpPr>
      <xdr:spPr bwMode="auto">
        <a:xfrm>
          <a:off x="4267200" y="3505200"/>
          <a:ext cx="203200" cy="241300"/>
        </a:xfrm>
        <a:prstGeom prst="triangle">
          <a:avLst>
            <a:gd name="adj" fmla="val 50000"/>
          </a:avLst>
        </a:prstGeom>
        <a:solidFill>
          <a:srgbClr val="969696"/>
        </a:solidFill>
        <a:ln w="9525">
          <a:solidFill>
            <a:srgbClr val="000000"/>
          </a:solidFill>
          <a:miter lim="800000"/>
          <a:headEnd/>
          <a:tailEnd/>
        </a:ln>
      </xdr:spPr>
    </xdr:sp>
    <xdr:clientData/>
  </xdr:twoCellAnchor>
  <xdr:twoCellAnchor>
    <xdr:from>
      <xdr:col>5</xdr:col>
      <xdr:colOff>482600</xdr:colOff>
      <xdr:row>5</xdr:row>
      <xdr:rowOff>101600</xdr:rowOff>
    </xdr:from>
    <xdr:to>
      <xdr:col>6</xdr:col>
      <xdr:colOff>127000</xdr:colOff>
      <xdr:row>6</xdr:row>
      <xdr:rowOff>101600</xdr:rowOff>
    </xdr:to>
    <xdr:sp macro="" textlink="">
      <xdr:nvSpPr>
        <xdr:cNvPr id="106376" name="Line 32">
          <a:extLst>
            <a:ext uri="{FF2B5EF4-FFF2-40B4-BE49-F238E27FC236}">
              <a16:creationId xmlns:a16="http://schemas.microsoft.com/office/drawing/2014/main" id="{40AB7D39-6A4B-B64E-9B44-782F9ECCB08F}"/>
            </a:ext>
          </a:extLst>
        </xdr:cNvPr>
        <xdr:cNvSpPr>
          <a:spLocks noChangeShapeType="1"/>
        </xdr:cNvSpPr>
      </xdr:nvSpPr>
      <xdr:spPr bwMode="auto">
        <a:xfrm flipH="1">
          <a:off x="3924300" y="990600"/>
          <a:ext cx="317500" cy="165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419100</xdr:colOff>
      <xdr:row>3</xdr:row>
      <xdr:rowOff>139700</xdr:rowOff>
    </xdr:from>
    <xdr:to>
      <xdr:col>7</xdr:col>
      <xdr:colOff>63500</xdr:colOff>
      <xdr:row>4</xdr:row>
      <xdr:rowOff>127000</xdr:rowOff>
    </xdr:to>
    <xdr:sp macro="" textlink="">
      <xdr:nvSpPr>
        <xdr:cNvPr id="106377" name="Line 33">
          <a:extLst>
            <a:ext uri="{FF2B5EF4-FFF2-40B4-BE49-F238E27FC236}">
              <a16:creationId xmlns:a16="http://schemas.microsoft.com/office/drawing/2014/main" id="{3F5A13AD-36B3-1E45-B04A-5BACB9933F87}"/>
            </a:ext>
          </a:extLst>
        </xdr:cNvPr>
        <xdr:cNvSpPr>
          <a:spLocks noChangeShapeType="1"/>
        </xdr:cNvSpPr>
      </xdr:nvSpPr>
      <xdr:spPr bwMode="auto">
        <a:xfrm flipH="1">
          <a:off x="4533900" y="698500"/>
          <a:ext cx="31750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266700</xdr:colOff>
      <xdr:row>5</xdr:row>
      <xdr:rowOff>139700</xdr:rowOff>
    </xdr:from>
    <xdr:to>
      <xdr:col>6</xdr:col>
      <xdr:colOff>482600</xdr:colOff>
      <xdr:row>6</xdr:row>
      <xdr:rowOff>63500</xdr:rowOff>
    </xdr:to>
    <xdr:sp macro="" textlink="">
      <xdr:nvSpPr>
        <xdr:cNvPr id="106378" name="AutoShape 34">
          <a:extLst>
            <a:ext uri="{FF2B5EF4-FFF2-40B4-BE49-F238E27FC236}">
              <a16:creationId xmlns:a16="http://schemas.microsoft.com/office/drawing/2014/main" id="{F574FCF2-C912-CD45-B6D7-F85B6E1FF4D8}"/>
            </a:ext>
          </a:extLst>
        </xdr:cNvPr>
        <xdr:cNvSpPr>
          <a:spLocks noChangeArrowheads="1"/>
        </xdr:cNvSpPr>
      </xdr:nvSpPr>
      <xdr:spPr bwMode="auto">
        <a:xfrm rot="3473625">
          <a:off x="4445000" y="965200"/>
          <a:ext cx="88900" cy="215900"/>
        </a:xfrm>
        <a:prstGeom prst="moon">
          <a:avLst>
            <a:gd name="adj" fmla="val 50000"/>
          </a:avLst>
        </a:prstGeom>
        <a:solidFill>
          <a:srgbClr val="FFFFFF"/>
        </a:solidFill>
        <a:ln w="9525">
          <a:solidFill>
            <a:srgbClr val="000000"/>
          </a:solidFill>
          <a:miter lim="800000"/>
          <a:headEnd/>
          <a:tailEnd/>
        </a:ln>
      </xdr:spPr>
    </xdr:sp>
    <xdr:clientData/>
  </xdr:twoCellAnchor>
  <xdr:oneCellAnchor>
    <xdr:from>
      <xdr:col>1</xdr:col>
      <xdr:colOff>663575</xdr:colOff>
      <xdr:row>3</xdr:row>
      <xdr:rowOff>76200</xdr:rowOff>
    </xdr:from>
    <xdr:ext cx="141001" cy="141001"/>
    <xdr:sp macro="" textlink="">
      <xdr:nvSpPr>
        <xdr:cNvPr id="10275" name="Text Box 35">
          <a:extLst>
            <a:ext uri="{FF2B5EF4-FFF2-40B4-BE49-F238E27FC236}">
              <a16:creationId xmlns:a16="http://schemas.microsoft.com/office/drawing/2014/main" id="{A7D84138-C716-6447-AFF8-788648409C7E}"/>
            </a:ext>
          </a:extLst>
        </xdr:cNvPr>
        <xdr:cNvSpPr txBox="1">
          <a:spLocks noChangeArrowheads="1"/>
        </xdr:cNvSpPr>
      </xdr:nvSpPr>
      <xdr:spPr bwMode="auto">
        <a:xfrm>
          <a:off x="1336675" y="635000"/>
          <a:ext cx="141001" cy="141001"/>
        </a:xfrm>
        <a:prstGeom prst="rect">
          <a:avLst/>
        </a:prstGeom>
        <a:noFill/>
        <a:ln w="9525">
          <a:noFill/>
          <a:miter lim="800000"/>
          <a:headEnd/>
          <a:tailEnd/>
        </a:ln>
      </xdr:spPr>
      <xdr:txBody>
        <a:bodyPr wrap="none" lIns="18288" tIns="22860" rIns="0" bIns="0" anchor="t" upright="1">
          <a:spAutoFit/>
        </a:bodyPr>
        <a:lstStyle/>
        <a:p>
          <a:pPr algn="l" rtl="1">
            <a:defRPr sz="1000"/>
          </a:pPr>
          <a:r>
            <a:rPr lang="en-US" sz="800" b="1" i="0" strike="noStrike">
              <a:solidFill>
                <a:srgbClr val="000000"/>
              </a:solidFill>
              <a:latin typeface="Arial"/>
              <a:cs typeface="Arial"/>
            </a:rPr>
            <a:t>+Z</a:t>
          </a:r>
        </a:p>
      </xdr:txBody>
    </xdr:sp>
    <xdr:clientData/>
  </xdr:oneCellAnchor>
  <xdr:oneCellAnchor>
    <xdr:from>
      <xdr:col>1</xdr:col>
      <xdr:colOff>381000</xdr:colOff>
      <xdr:row>6</xdr:row>
      <xdr:rowOff>38100</xdr:rowOff>
    </xdr:from>
    <xdr:ext cx="160114" cy="141001"/>
    <xdr:sp macro="" textlink="">
      <xdr:nvSpPr>
        <xdr:cNvPr id="10276" name="Text Box 36">
          <a:extLst>
            <a:ext uri="{FF2B5EF4-FFF2-40B4-BE49-F238E27FC236}">
              <a16:creationId xmlns:a16="http://schemas.microsoft.com/office/drawing/2014/main" id="{B897B4B9-0CD4-1548-9AAD-AFB6797E289D}"/>
            </a:ext>
          </a:extLst>
        </xdr:cNvPr>
        <xdr:cNvSpPr txBox="1">
          <a:spLocks noChangeArrowheads="1"/>
        </xdr:cNvSpPr>
      </xdr:nvSpPr>
      <xdr:spPr bwMode="auto">
        <a:xfrm>
          <a:off x="952500" y="1085850"/>
          <a:ext cx="146771" cy="141001"/>
        </a:xfrm>
        <a:prstGeom prst="rect">
          <a:avLst/>
        </a:prstGeom>
        <a:noFill/>
        <a:ln w="9525">
          <a:noFill/>
          <a:miter lim="800000"/>
          <a:headEnd/>
          <a:tailEnd/>
        </a:ln>
      </xdr:spPr>
      <xdr:txBody>
        <a:bodyPr wrap="none" lIns="18288" tIns="22860" rIns="0" bIns="0" anchor="t" upright="1">
          <a:spAutoFit/>
        </a:bodyPr>
        <a:lstStyle/>
        <a:p>
          <a:pPr algn="l" rtl="1">
            <a:defRPr sz="1000"/>
          </a:pPr>
          <a:r>
            <a:rPr lang="en-US" sz="800" b="1" i="0" strike="noStrike">
              <a:solidFill>
                <a:srgbClr val="000000"/>
              </a:solidFill>
              <a:latin typeface="Arial"/>
              <a:cs typeface="Arial"/>
            </a:rPr>
            <a:t>+X</a:t>
          </a:r>
        </a:p>
      </xdr:txBody>
    </xdr:sp>
    <xdr:clientData/>
  </xdr:oneCellAnchor>
  <xdr:oneCellAnchor>
    <xdr:from>
      <xdr:col>2</xdr:col>
      <xdr:colOff>409575</xdr:colOff>
      <xdr:row>6</xdr:row>
      <xdr:rowOff>142875</xdr:rowOff>
    </xdr:from>
    <xdr:ext cx="128098" cy="141001"/>
    <xdr:sp macro="" textlink="">
      <xdr:nvSpPr>
        <xdr:cNvPr id="10277" name="Text Box 37">
          <a:extLst>
            <a:ext uri="{FF2B5EF4-FFF2-40B4-BE49-F238E27FC236}">
              <a16:creationId xmlns:a16="http://schemas.microsoft.com/office/drawing/2014/main" id="{07941DE6-F5BA-FA4C-BB2A-A20EFBA7E4D4}"/>
            </a:ext>
          </a:extLst>
        </xdr:cNvPr>
        <xdr:cNvSpPr txBox="1">
          <a:spLocks noChangeArrowheads="1"/>
        </xdr:cNvSpPr>
      </xdr:nvSpPr>
      <xdr:spPr bwMode="auto">
        <a:xfrm>
          <a:off x="1590675" y="1190625"/>
          <a:ext cx="115288" cy="141001"/>
        </a:xfrm>
        <a:prstGeom prst="rect">
          <a:avLst/>
        </a:prstGeom>
        <a:noFill/>
        <a:ln w="9525">
          <a:noFill/>
          <a:miter lim="800000"/>
          <a:headEnd/>
          <a:tailEnd/>
        </a:ln>
      </xdr:spPr>
      <xdr:txBody>
        <a:bodyPr wrap="none" lIns="18288" tIns="22860" rIns="0" bIns="0" anchor="t" upright="1">
          <a:spAutoFit/>
        </a:bodyPr>
        <a:lstStyle/>
        <a:p>
          <a:pPr algn="l" rtl="1">
            <a:defRPr sz="1000"/>
          </a:pPr>
          <a:r>
            <a:rPr lang="en-US" sz="800" b="1" i="0" strike="noStrike">
              <a:solidFill>
                <a:srgbClr val="000000"/>
              </a:solidFill>
              <a:latin typeface="Arial"/>
              <a:cs typeface="Arial"/>
            </a:rPr>
            <a:t>-Z</a:t>
          </a:r>
        </a:p>
      </xdr:txBody>
    </xdr:sp>
    <xdr:clientData/>
  </xdr:oneCellAnchor>
  <xdr:oneCellAnchor>
    <xdr:from>
      <xdr:col>5</xdr:col>
      <xdr:colOff>635000</xdr:colOff>
      <xdr:row>2</xdr:row>
      <xdr:rowOff>123825</xdr:rowOff>
    </xdr:from>
    <xdr:ext cx="141001" cy="141001"/>
    <xdr:sp macro="" textlink="">
      <xdr:nvSpPr>
        <xdr:cNvPr id="10278" name="Text Box 38">
          <a:extLst>
            <a:ext uri="{FF2B5EF4-FFF2-40B4-BE49-F238E27FC236}">
              <a16:creationId xmlns:a16="http://schemas.microsoft.com/office/drawing/2014/main" id="{91241BDC-F0D0-7749-9964-C183A51FCE17}"/>
            </a:ext>
          </a:extLst>
        </xdr:cNvPr>
        <xdr:cNvSpPr txBox="1">
          <a:spLocks noChangeArrowheads="1"/>
        </xdr:cNvSpPr>
      </xdr:nvSpPr>
      <xdr:spPr bwMode="auto">
        <a:xfrm>
          <a:off x="4076700" y="517525"/>
          <a:ext cx="141001" cy="141001"/>
        </a:xfrm>
        <a:prstGeom prst="rect">
          <a:avLst/>
        </a:prstGeom>
        <a:noFill/>
        <a:ln w="9525">
          <a:noFill/>
          <a:miter lim="800000"/>
          <a:headEnd/>
          <a:tailEnd/>
        </a:ln>
      </xdr:spPr>
      <xdr:txBody>
        <a:bodyPr wrap="none" lIns="18288" tIns="22860" rIns="0" bIns="0" anchor="t" upright="1">
          <a:spAutoFit/>
        </a:bodyPr>
        <a:lstStyle/>
        <a:p>
          <a:pPr algn="l" rtl="1">
            <a:defRPr sz="1000"/>
          </a:pPr>
          <a:r>
            <a:rPr lang="en-US" sz="800" b="1" i="0" strike="noStrike">
              <a:solidFill>
                <a:srgbClr val="000000"/>
              </a:solidFill>
              <a:latin typeface="Arial"/>
              <a:cs typeface="Arial"/>
            </a:rPr>
            <a:t>+Z</a:t>
          </a:r>
        </a:p>
      </xdr:txBody>
    </xdr:sp>
    <xdr:clientData/>
  </xdr:oneCellAnchor>
  <xdr:oneCellAnchor>
    <xdr:from>
      <xdr:col>5</xdr:col>
      <xdr:colOff>333375</xdr:colOff>
      <xdr:row>6</xdr:row>
      <xdr:rowOff>28575</xdr:rowOff>
    </xdr:from>
    <xdr:ext cx="146771" cy="141001"/>
    <xdr:sp macro="" textlink="">
      <xdr:nvSpPr>
        <xdr:cNvPr id="10279" name="Text Box 39">
          <a:extLst>
            <a:ext uri="{FF2B5EF4-FFF2-40B4-BE49-F238E27FC236}">
              <a16:creationId xmlns:a16="http://schemas.microsoft.com/office/drawing/2014/main" id="{00DCEDE6-A345-8340-B41C-B28C21FB6B66}"/>
            </a:ext>
          </a:extLst>
        </xdr:cNvPr>
        <xdr:cNvSpPr txBox="1">
          <a:spLocks noChangeArrowheads="1"/>
        </xdr:cNvSpPr>
      </xdr:nvSpPr>
      <xdr:spPr bwMode="auto">
        <a:xfrm>
          <a:off x="3390900" y="1076325"/>
          <a:ext cx="146771" cy="141001"/>
        </a:xfrm>
        <a:prstGeom prst="rect">
          <a:avLst/>
        </a:prstGeom>
        <a:noFill/>
        <a:ln w="9525">
          <a:noFill/>
          <a:miter lim="800000"/>
          <a:headEnd/>
          <a:tailEnd/>
        </a:ln>
      </xdr:spPr>
      <xdr:txBody>
        <a:bodyPr wrap="none" lIns="18288" tIns="22860" rIns="0" bIns="0" anchor="t" upright="1">
          <a:spAutoFit/>
        </a:bodyPr>
        <a:lstStyle/>
        <a:p>
          <a:pPr algn="l" rtl="1">
            <a:defRPr sz="1000"/>
          </a:pPr>
          <a:r>
            <a:rPr lang="en-US" sz="800" b="1" i="0" strike="noStrike">
              <a:solidFill>
                <a:srgbClr val="000000"/>
              </a:solidFill>
              <a:latin typeface="Arial"/>
              <a:cs typeface="Arial"/>
            </a:rPr>
            <a:t>+X</a:t>
          </a:r>
        </a:p>
      </xdr:txBody>
    </xdr:sp>
    <xdr:clientData/>
  </xdr:oneCellAnchor>
  <xdr:oneCellAnchor>
    <xdr:from>
      <xdr:col>6</xdr:col>
      <xdr:colOff>333375</xdr:colOff>
      <xdr:row>6</xdr:row>
      <xdr:rowOff>76200</xdr:rowOff>
    </xdr:from>
    <xdr:ext cx="128098" cy="141001"/>
    <xdr:sp macro="" textlink="">
      <xdr:nvSpPr>
        <xdr:cNvPr id="10280" name="Text Box 40">
          <a:extLst>
            <a:ext uri="{FF2B5EF4-FFF2-40B4-BE49-F238E27FC236}">
              <a16:creationId xmlns:a16="http://schemas.microsoft.com/office/drawing/2014/main" id="{8881E081-41E5-AE42-A06E-62D2313C61B6}"/>
            </a:ext>
          </a:extLst>
        </xdr:cNvPr>
        <xdr:cNvSpPr txBox="1">
          <a:spLocks noChangeArrowheads="1"/>
        </xdr:cNvSpPr>
      </xdr:nvSpPr>
      <xdr:spPr bwMode="auto">
        <a:xfrm>
          <a:off x="4000500" y="1123950"/>
          <a:ext cx="115288" cy="141001"/>
        </a:xfrm>
        <a:prstGeom prst="rect">
          <a:avLst/>
        </a:prstGeom>
        <a:noFill/>
        <a:ln w="9525">
          <a:noFill/>
          <a:miter lim="800000"/>
          <a:headEnd/>
          <a:tailEnd/>
        </a:ln>
      </xdr:spPr>
      <xdr:txBody>
        <a:bodyPr wrap="none" lIns="18288" tIns="22860" rIns="0" bIns="0" anchor="t" upright="1">
          <a:spAutoFit/>
        </a:bodyPr>
        <a:lstStyle/>
        <a:p>
          <a:pPr algn="l" rtl="1">
            <a:defRPr sz="1000"/>
          </a:pPr>
          <a:r>
            <a:rPr lang="en-US" sz="800" b="1" i="0" strike="noStrike">
              <a:solidFill>
                <a:srgbClr val="000000"/>
              </a:solidFill>
              <a:latin typeface="Arial"/>
              <a:cs typeface="Arial"/>
            </a:rPr>
            <a:t>-Z</a:t>
          </a:r>
        </a:p>
      </xdr:txBody>
    </xdr:sp>
    <xdr:clientData/>
  </xdr:oneCellAnchor>
  <xdr:twoCellAnchor>
    <xdr:from>
      <xdr:col>4</xdr:col>
      <xdr:colOff>393700</xdr:colOff>
      <xdr:row>34</xdr:row>
      <xdr:rowOff>88900</xdr:rowOff>
    </xdr:from>
    <xdr:to>
      <xdr:col>4</xdr:col>
      <xdr:colOff>736600</xdr:colOff>
      <xdr:row>34</xdr:row>
      <xdr:rowOff>88900</xdr:rowOff>
    </xdr:to>
    <xdr:sp macro="" textlink="">
      <xdr:nvSpPr>
        <xdr:cNvPr id="106385" name="Line 41">
          <a:extLst>
            <a:ext uri="{FF2B5EF4-FFF2-40B4-BE49-F238E27FC236}">
              <a16:creationId xmlns:a16="http://schemas.microsoft.com/office/drawing/2014/main" id="{117D2D3C-1959-E747-A16D-E836BBB907DF}"/>
            </a:ext>
          </a:extLst>
        </xdr:cNvPr>
        <xdr:cNvSpPr>
          <a:spLocks noChangeShapeType="1"/>
        </xdr:cNvSpPr>
      </xdr:nvSpPr>
      <xdr:spPr bwMode="auto">
        <a:xfrm flipH="1" flipV="1">
          <a:off x="3086100" y="5981700"/>
          <a:ext cx="342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34</xdr:row>
      <xdr:rowOff>88900</xdr:rowOff>
    </xdr:from>
    <xdr:to>
      <xdr:col>4</xdr:col>
      <xdr:colOff>393700</xdr:colOff>
      <xdr:row>35</xdr:row>
      <xdr:rowOff>0</xdr:rowOff>
    </xdr:to>
    <xdr:sp macro="" textlink="">
      <xdr:nvSpPr>
        <xdr:cNvPr id="106386" name="Line 42">
          <a:extLst>
            <a:ext uri="{FF2B5EF4-FFF2-40B4-BE49-F238E27FC236}">
              <a16:creationId xmlns:a16="http://schemas.microsoft.com/office/drawing/2014/main" id="{1B3B2349-A1AE-B84C-AE75-C24EB4C3733E}"/>
            </a:ext>
          </a:extLst>
        </xdr:cNvPr>
        <xdr:cNvSpPr>
          <a:spLocks noChangeShapeType="1"/>
        </xdr:cNvSpPr>
      </xdr:nvSpPr>
      <xdr:spPr bwMode="auto">
        <a:xfrm flipH="1">
          <a:off x="3086100" y="5981700"/>
          <a:ext cx="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393700</xdr:colOff>
      <xdr:row>50</xdr:row>
      <xdr:rowOff>76200</xdr:rowOff>
    </xdr:from>
    <xdr:to>
      <xdr:col>4</xdr:col>
      <xdr:colOff>736600</xdr:colOff>
      <xdr:row>50</xdr:row>
      <xdr:rowOff>76200</xdr:rowOff>
    </xdr:to>
    <xdr:sp macro="" textlink="">
      <xdr:nvSpPr>
        <xdr:cNvPr id="106387" name="Line 44">
          <a:extLst>
            <a:ext uri="{FF2B5EF4-FFF2-40B4-BE49-F238E27FC236}">
              <a16:creationId xmlns:a16="http://schemas.microsoft.com/office/drawing/2014/main" id="{BFCD38EA-C6C8-584E-9D2E-16CD6B8386DF}"/>
            </a:ext>
          </a:extLst>
        </xdr:cNvPr>
        <xdr:cNvSpPr>
          <a:spLocks noChangeShapeType="1"/>
        </xdr:cNvSpPr>
      </xdr:nvSpPr>
      <xdr:spPr bwMode="auto">
        <a:xfrm flipH="1" flipV="1">
          <a:off x="3086100" y="9842500"/>
          <a:ext cx="342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50</xdr:row>
      <xdr:rowOff>76200</xdr:rowOff>
    </xdr:from>
    <xdr:to>
      <xdr:col>4</xdr:col>
      <xdr:colOff>393700</xdr:colOff>
      <xdr:row>50</xdr:row>
      <xdr:rowOff>165100</xdr:rowOff>
    </xdr:to>
    <xdr:sp macro="" textlink="">
      <xdr:nvSpPr>
        <xdr:cNvPr id="106388" name="Line 45">
          <a:extLst>
            <a:ext uri="{FF2B5EF4-FFF2-40B4-BE49-F238E27FC236}">
              <a16:creationId xmlns:a16="http://schemas.microsoft.com/office/drawing/2014/main" id="{B7A58D3B-E93B-7847-AD4D-1F3A9EDBFC1A}"/>
            </a:ext>
          </a:extLst>
        </xdr:cNvPr>
        <xdr:cNvSpPr>
          <a:spLocks noChangeShapeType="1"/>
        </xdr:cNvSpPr>
      </xdr:nvSpPr>
      <xdr:spPr bwMode="auto">
        <a:xfrm flipH="1">
          <a:off x="3086100" y="9842500"/>
          <a:ext cx="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xdr:col>
      <xdr:colOff>466725</xdr:colOff>
      <xdr:row>8</xdr:row>
      <xdr:rowOff>123825</xdr:rowOff>
    </xdr:from>
    <xdr:ext cx="1278620" cy="141001"/>
    <xdr:sp macro="" textlink="">
      <xdr:nvSpPr>
        <xdr:cNvPr id="10287" name="Text Box 47">
          <a:extLst>
            <a:ext uri="{FF2B5EF4-FFF2-40B4-BE49-F238E27FC236}">
              <a16:creationId xmlns:a16="http://schemas.microsoft.com/office/drawing/2014/main" id="{6015F777-FFE6-6844-B200-C87B3942A1BB}"/>
            </a:ext>
          </a:extLst>
        </xdr:cNvPr>
        <xdr:cNvSpPr txBox="1">
          <a:spLocks noChangeArrowheads="1"/>
        </xdr:cNvSpPr>
      </xdr:nvSpPr>
      <xdr:spPr bwMode="auto">
        <a:xfrm>
          <a:off x="2257425" y="1495425"/>
          <a:ext cx="1278620" cy="141001"/>
        </a:xfrm>
        <a:prstGeom prst="rect">
          <a:avLst/>
        </a:prstGeom>
        <a:noFill/>
        <a:ln w="9525">
          <a:noFill/>
          <a:miter lim="800000"/>
          <a:headEnd/>
          <a:tailEnd/>
        </a:ln>
      </xdr:spPr>
      <xdr:txBody>
        <a:bodyPr wrap="none" lIns="18288" tIns="22860" rIns="0" bIns="0" anchor="t" upright="1">
          <a:spAutoFit/>
        </a:bodyPr>
        <a:lstStyle/>
        <a:p>
          <a:pPr algn="l" rtl="1">
            <a:defRPr sz="1000"/>
          </a:pPr>
          <a:r>
            <a:rPr lang="en-US" sz="800" b="0" i="0" strike="noStrike">
              <a:solidFill>
                <a:srgbClr val="000000"/>
              </a:solidFill>
              <a:latin typeface="Arial"/>
              <a:cs typeface="Arial"/>
            </a:rPr>
            <a:t>Spacecraft Symmetry Axis  </a:t>
          </a:r>
        </a:p>
      </xdr:txBody>
    </xdr:sp>
    <xdr:clientData/>
  </xdr:oneCellAnchor>
  <xdr:twoCellAnchor>
    <xdr:from>
      <xdr:col>2</xdr:col>
      <xdr:colOff>660400</xdr:colOff>
      <xdr:row>9</xdr:row>
      <xdr:rowOff>25400</xdr:rowOff>
    </xdr:from>
    <xdr:to>
      <xdr:col>3</xdr:col>
      <xdr:colOff>444500</xdr:colOff>
      <xdr:row>9</xdr:row>
      <xdr:rowOff>76200</xdr:rowOff>
    </xdr:to>
    <xdr:sp macro="" textlink="">
      <xdr:nvSpPr>
        <xdr:cNvPr id="106390" name="Line 49">
          <a:extLst>
            <a:ext uri="{FF2B5EF4-FFF2-40B4-BE49-F238E27FC236}">
              <a16:creationId xmlns:a16="http://schemas.microsoft.com/office/drawing/2014/main" id="{ADC93DF1-5829-224D-997F-7CE9929BA49E}"/>
            </a:ext>
          </a:extLst>
        </xdr:cNvPr>
        <xdr:cNvSpPr>
          <a:spLocks noChangeShapeType="1"/>
        </xdr:cNvSpPr>
      </xdr:nvSpPr>
      <xdr:spPr bwMode="auto">
        <a:xfrm flipH="1">
          <a:off x="2006600" y="1574800"/>
          <a:ext cx="457200" cy="50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533400</xdr:colOff>
      <xdr:row>7</xdr:row>
      <xdr:rowOff>139700</xdr:rowOff>
    </xdr:from>
    <xdr:to>
      <xdr:col>6</xdr:col>
      <xdr:colOff>469900</xdr:colOff>
      <xdr:row>9</xdr:row>
      <xdr:rowOff>50800</xdr:rowOff>
    </xdr:to>
    <xdr:sp macro="" textlink="">
      <xdr:nvSpPr>
        <xdr:cNvPr id="106391" name="Line 50">
          <a:extLst>
            <a:ext uri="{FF2B5EF4-FFF2-40B4-BE49-F238E27FC236}">
              <a16:creationId xmlns:a16="http://schemas.microsoft.com/office/drawing/2014/main" id="{4DAD494E-F2F5-C541-BE62-C2629657920C}"/>
            </a:ext>
          </a:extLst>
        </xdr:cNvPr>
        <xdr:cNvSpPr>
          <a:spLocks noChangeShapeType="1"/>
        </xdr:cNvSpPr>
      </xdr:nvSpPr>
      <xdr:spPr bwMode="auto">
        <a:xfrm flipV="1">
          <a:off x="3975100" y="1358900"/>
          <a:ext cx="609600" cy="241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355600</xdr:colOff>
      <xdr:row>32</xdr:row>
      <xdr:rowOff>0</xdr:rowOff>
    </xdr:from>
    <xdr:to>
      <xdr:col>17</xdr:col>
      <xdr:colOff>355600</xdr:colOff>
      <xdr:row>36</xdr:row>
      <xdr:rowOff>0</xdr:rowOff>
    </xdr:to>
    <xdr:sp macro="" textlink="">
      <xdr:nvSpPr>
        <xdr:cNvPr id="106392" name="Line 52">
          <a:extLst>
            <a:ext uri="{FF2B5EF4-FFF2-40B4-BE49-F238E27FC236}">
              <a16:creationId xmlns:a16="http://schemas.microsoft.com/office/drawing/2014/main" id="{572A4A0F-7739-704E-A709-04EE0DF8E353}"/>
            </a:ext>
          </a:extLst>
        </xdr:cNvPr>
        <xdr:cNvSpPr>
          <a:spLocks noChangeShapeType="1"/>
        </xdr:cNvSpPr>
      </xdr:nvSpPr>
      <xdr:spPr bwMode="auto">
        <a:xfrm>
          <a:off x="12852400" y="5562600"/>
          <a:ext cx="0" cy="685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20</xdr:col>
      <xdr:colOff>28575</xdr:colOff>
      <xdr:row>59</xdr:row>
      <xdr:rowOff>76200</xdr:rowOff>
    </xdr:from>
    <xdr:ext cx="2263171" cy="465512"/>
    <xdr:sp macro="" textlink="">
      <xdr:nvSpPr>
        <xdr:cNvPr id="10293" name="Text Box 53">
          <a:extLst>
            <a:ext uri="{FF2B5EF4-FFF2-40B4-BE49-F238E27FC236}">
              <a16:creationId xmlns:a16="http://schemas.microsoft.com/office/drawing/2014/main" id="{9C37B4B9-B09A-5D4F-A0AC-E5B83134B04B}"/>
            </a:ext>
          </a:extLst>
        </xdr:cNvPr>
        <xdr:cNvSpPr txBox="1">
          <a:spLocks noChangeArrowheads="1"/>
        </xdr:cNvSpPr>
      </xdr:nvSpPr>
      <xdr:spPr bwMode="auto">
        <a:xfrm>
          <a:off x="13096875" y="12096750"/>
          <a:ext cx="2228174" cy="465512"/>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Link Model operator enter equation for </a:t>
          </a:r>
        </a:p>
        <a:p>
          <a:pPr algn="l" rtl="1">
            <a:defRPr sz="1000"/>
          </a:pPr>
          <a:r>
            <a:rPr lang="en-US" sz="1000" b="0" i="0" strike="noStrike">
              <a:solidFill>
                <a:srgbClr val="000000"/>
              </a:solidFill>
              <a:latin typeface="Arial"/>
              <a:cs typeface="Arial"/>
            </a:rPr>
            <a:t>functional behaviorof user defined </a:t>
          </a:r>
        </a:p>
        <a:p>
          <a:pPr algn="l" rtl="1">
            <a:defRPr sz="1000"/>
          </a:pPr>
          <a:r>
            <a:rPr lang="en-US" sz="1000" b="0" i="0" strike="noStrike">
              <a:solidFill>
                <a:srgbClr val="000000"/>
              </a:solidFill>
              <a:latin typeface="Arial"/>
              <a:cs typeface="Arial"/>
            </a:rPr>
            <a:t>antenna  here.</a:t>
          </a:r>
        </a:p>
      </xdr:txBody>
    </xdr:sp>
    <xdr:clientData/>
  </xdr:oneCellAnchor>
  <xdr:twoCellAnchor>
    <xdr:from>
      <xdr:col>19</xdr:col>
      <xdr:colOff>12700</xdr:colOff>
      <xdr:row>59</xdr:row>
      <xdr:rowOff>165100</xdr:rowOff>
    </xdr:from>
    <xdr:to>
      <xdr:col>20</xdr:col>
      <xdr:colOff>0</xdr:colOff>
      <xdr:row>59</xdr:row>
      <xdr:rowOff>165100</xdr:rowOff>
    </xdr:to>
    <xdr:sp macro="" textlink="">
      <xdr:nvSpPr>
        <xdr:cNvPr id="106394" name="Line 54">
          <a:extLst>
            <a:ext uri="{FF2B5EF4-FFF2-40B4-BE49-F238E27FC236}">
              <a16:creationId xmlns:a16="http://schemas.microsoft.com/office/drawing/2014/main" id="{E0EC7A83-EBFA-7A45-9874-8144FEE373B5}"/>
            </a:ext>
          </a:extLst>
        </xdr:cNvPr>
        <xdr:cNvSpPr>
          <a:spLocks noChangeShapeType="1"/>
        </xdr:cNvSpPr>
      </xdr:nvSpPr>
      <xdr:spPr bwMode="auto">
        <a:xfrm flipH="1">
          <a:off x="13906500" y="12306300"/>
          <a:ext cx="660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673100</xdr:colOff>
      <xdr:row>51</xdr:row>
      <xdr:rowOff>165100</xdr:rowOff>
    </xdr:from>
    <xdr:to>
      <xdr:col>17</xdr:col>
      <xdr:colOff>673100</xdr:colOff>
      <xdr:row>53</xdr:row>
      <xdr:rowOff>12700</xdr:rowOff>
    </xdr:to>
    <xdr:sp macro="" textlink="">
      <xdr:nvSpPr>
        <xdr:cNvPr id="106395" name="Line 55">
          <a:extLst>
            <a:ext uri="{FF2B5EF4-FFF2-40B4-BE49-F238E27FC236}">
              <a16:creationId xmlns:a16="http://schemas.microsoft.com/office/drawing/2014/main" id="{F80778EC-307E-424C-8687-7238C912CFB9}"/>
            </a:ext>
          </a:extLst>
        </xdr:cNvPr>
        <xdr:cNvSpPr>
          <a:spLocks noChangeShapeType="1"/>
        </xdr:cNvSpPr>
      </xdr:nvSpPr>
      <xdr:spPr bwMode="auto">
        <a:xfrm>
          <a:off x="13169900" y="10109200"/>
          <a:ext cx="0" cy="203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673100</xdr:colOff>
      <xdr:row>48</xdr:row>
      <xdr:rowOff>0</xdr:rowOff>
    </xdr:from>
    <xdr:to>
      <xdr:col>17</xdr:col>
      <xdr:colOff>673100</xdr:colOff>
      <xdr:row>49</xdr:row>
      <xdr:rowOff>0</xdr:rowOff>
    </xdr:to>
    <xdr:sp macro="" textlink="">
      <xdr:nvSpPr>
        <xdr:cNvPr id="106396" name="Line 56">
          <a:extLst>
            <a:ext uri="{FF2B5EF4-FFF2-40B4-BE49-F238E27FC236}">
              <a16:creationId xmlns:a16="http://schemas.microsoft.com/office/drawing/2014/main" id="{E2F13505-9765-1D4A-ADF2-BE9F44A2BA27}"/>
            </a:ext>
          </a:extLst>
        </xdr:cNvPr>
        <xdr:cNvSpPr>
          <a:spLocks noChangeShapeType="1"/>
        </xdr:cNvSpPr>
      </xdr:nvSpPr>
      <xdr:spPr bwMode="auto">
        <a:xfrm flipV="1">
          <a:off x="13169900" y="9423400"/>
          <a:ext cx="0" cy="177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292100</xdr:colOff>
      <xdr:row>66</xdr:row>
      <xdr:rowOff>0</xdr:rowOff>
    </xdr:from>
    <xdr:to>
      <xdr:col>3</xdr:col>
      <xdr:colOff>292100</xdr:colOff>
      <xdr:row>67</xdr:row>
      <xdr:rowOff>0</xdr:rowOff>
    </xdr:to>
    <xdr:sp macro="" textlink="">
      <xdr:nvSpPr>
        <xdr:cNvPr id="106397" name="Line 62">
          <a:extLst>
            <a:ext uri="{FF2B5EF4-FFF2-40B4-BE49-F238E27FC236}">
              <a16:creationId xmlns:a16="http://schemas.microsoft.com/office/drawing/2014/main" id="{FF3BC56C-75C1-4E49-AD2A-5DAA5461CE1C}"/>
            </a:ext>
          </a:extLst>
        </xdr:cNvPr>
        <xdr:cNvSpPr>
          <a:spLocks noChangeShapeType="1"/>
        </xdr:cNvSpPr>
      </xdr:nvSpPr>
      <xdr:spPr bwMode="auto">
        <a:xfrm flipV="1">
          <a:off x="2311400" y="13449300"/>
          <a:ext cx="0" cy="2032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368300</xdr:colOff>
      <xdr:row>66</xdr:row>
      <xdr:rowOff>12700</xdr:rowOff>
    </xdr:from>
    <xdr:to>
      <xdr:col>10</xdr:col>
      <xdr:colOff>381000</xdr:colOff>
      <xdr:row>67</xdr:row>
      <xdr:rowOff>0</xdr:rowOff>
    </xdr:to>
    <xdr:sp macro="" textlink="">
      <xdr:nvSpPr>
        <xdr:cNvPr id="106398" name="Line 63">
          <a:extLst>
            <a:ext uri="{FF2B5EF4-FFF2-40B4-BE49-F238E27FC236}">
              <a16:creationId xmlns:a16="http://schemas.microsoft.com/office/drawing/2014/main" id="{23B60923-7A65-744C-8E35-EC637AD2F254}"/>
            </a:ext>
          </a:extLst>
        </xdr:cNvPr>
        <xdr:cNvSpPr>
          <a:spLocks noChangeShapeType="1"/>
        </xdr:cNvSpPr>
      </xdr:nvSpPr>
      <xdr:spPr bwMode="auto">
        <a:xfrm>
          <a:off x="7467600" y="13462000"/>
          <a:ext cx="12700" cy="1905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393700</xdr:colOff>
      <xdr:row>72</xdr:row>
      <xdr:rowOff>76200</xdr:rowOff>
    </xdr:from>
    <xdr:to>
      <xdr:col>4</xdr:col>
      <xdr:colOff>736600</xdr:colOff>
      <xdr:row>72</xdr:row>
      <xdr:rowOff>76200</xdr:rowOff>
    </xdr:to>
    <xdr:sp macro="" textlink="">
      <xdr:nvSpPr>
        <xdr:cNvPr id="106399" name="Line 64">
          <a:extLst>
            <a:ext uri="{FF2B5EF4-FFF2-40B4-BE49-F238E27FC236}">
              <a16:creationId xmlns:a16="http://schemas.microsoft.com/office/drawing/2014/main" id="{7468C67F-AFA5-734E-8199-696D964F3C05}"/>
            </a:ext>
          </a:extLst>
        </xdr:cNvPr>
        <xdr:cNvSpPr>
          <a:spLocks noChangeShapeType="1"/>
        </xdr:cNvSpPr>
      </xdr:nvSpPr>
      <xdr:spPr bwMode="auto">
        <a:xfrm flipH="1" flipV="1">
          <a:off x="3086100" y="14617700"/>
          <a:ext cx="342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72</xdr:row>
      <xdr:rowOff>76200</xdr:rowOff>
    </xdr:from>
    <xdr:to>
      <xdr:col>4</xdr:col>
      <xdr:colOff>393700</xdr:colOff>
      <xdr:row>72</xdr:row>
      <xdr:rowOff>165100</xdr:rowOff>
    </xdr:to>
    <xdr:sp macro="" textlink="">
      <xdr:nvSpPr>
        <xdr:cNvPr id="106400" name="Line 65">
          <a:extLst>
            <a:ext uri="{FF2B5EF4-FFF2-40B4-BE49-F238E27FC236}">
              <a16:creationId xmlns:a16="http://schemas.microsoft.com/office/drawing/2014/main" id="{4C489861-8BC4-A14C-9B9B-104558BA1B1E}"/>
            </a:ext>
          </a:extLst>
        </xdr:cNvPr>
        <xdr:cNvSpPr>
          <a:spLocks noChangeShapeType="1"/>
        </xdr:cNvSpPr>
      </xdr:nvSpPr>
      <xdr:spPr bwMode="auto">
        <a:xfrm flipH="1">
          <a:off x="3086100" y="14617700"/>
          <a:ext cx="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20</xdr:col>
      <xdr:colOff>28575</xdr:colOff>
      <xdr:row>81</xdr:row>
      <xdr:rowOff>95250</xdr:rowOff>
    </xdr:from>
    <xdr:ext cx="1776508" cy="318036"/>
    <xdr:sp macro="" textlink="">
      <xdr:nvSpPr>
        <xdr:cNvPr id="10306" name="Text Box 66">
          <a:extLst>
            <a:ext uri="{FF2B5EF4-FFF2-40B4-BE49-F238E27FC236}">
              <a16:creationId xmlns:a16="http://schemas.microsoft.com/office/drawing/2014/main" id="{724CD6E0-B03E-364B-BFC5-5E47B0AF20B7}"/>
            </a:ext>
          </a:extLst>
        </xdr:cNvPr>
        <xdr:cNvSpPr txBox="1">
          <a:spLocks noChangeArrowheads="1"/>
        </xdr:cNvSpPr>
      </xdr:nvSpPr>
      <xdr:spPr bwMode="auto">
        <a:xfrm>
          <a:off x="13096875" y="16868775"/>
          <a:ext cx="1729448" cy="318036"/>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Enter functional behavior</a:t>
          </a:r>
        </a:p>
        <a:p>
          <a:pPr algn="l" rtl="1">
            <a:defRPr sz="1000"/>
          </a:pPr>
          <a:r>
            <a:rPr lang="en-US" sz="1000" b="0" i="0" strike="noStrike">
              <a:solidFill>
                <a:srgbClr val="000000"/>
              </a:solidFill>
              <a:latin typeface="Arial"/>
              <a:cs typeface="Arial"/>
            </a:rPr>
            <a:t>of user defined antenna  here.</a:t>
          </a:r>
        </a:p>
      </xdr:txBody>
    </xdr:sp>
    <xdr:clientData/>
  </xdr:oneCellAnchor>
  <xdr:twoCellAnchor>
    <xdr:from>
      <xdr:col>17</xdr:col>
      <xdr:colOff>673100</xdr:colOff>
      <xdr:row>73</xdr:row>
      <xdr:rowOff>165100</xdr:rowOff>
    </xdr:from>
    <xdr:to>
      <xdr:col>17</xdr:col>
      <xdr:colOff>673100</xdr:colOff>
      <xdr:row>75</xdr:row>
      <xdr:rowOff>12700</xdr:rowOff>
    </xdr:to>
    <xdr:sp macro="" textlink="">
      <xdr:nvSpPr>
        <xdr:cNvPr id="106402" name="Line 68">
          <a:extLst>
            <a:ext uri="{FF2B5EF4-FFF2-40B4-BE49-F238E27FC236}">
              <a16:creationId xmlns:a16="http://schemas.microsoft.com/office/drawing/2014/main" id="{58F71CD4-A543-9849-9A7C-7F23A83625E5}"/>
            </a:ext>
          </a:extLst>
        </xdr:cNvPr>
        <xdr:cNvSpPr>
          <a:spLocks noChangeShapeType="1"/>
        </xdr:cNvSpPr>
      </xdr:nvSpPr>
      <xdr:spPr bwMode="auto">
        <a:xfrm>
          <a:off x="13169900" y="14884400"/>
          <a:ext cx="0" cy="203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673100</xdr:colOff>
      <xdr:row>70</xdr:row>
      <xdr:rowOff>0</xdr:rowOff>
    </xdr:from>
    <xdr:to>
      <xdr:col>17</xdr:col>
      <xdr:colOff>673100</xdr:colOff>
      <xdr:row>71</xdr:row>
      <xdr:rowOff>0</xdr:rowOff>
    </xdr:to>
    <xdr:sp macro="" textlink="">
      <xdr:nvSpPr>
        <xdr:cNvPr id="106403" name="Line 69">
          <a:extLst>
            <a:ext uri="{FF2B5EF4-FFF2-40B4-BE49-F238E27FC236}">
              <a16:creationId xmlns:a16="http://schemas.microsoft.com/office/drawing/2014/main" id="{5E50BB86-B968-0A45-9294-8B69F6E84095}"/>
            </a:ext>
          </a:extLst>
        </xdr:cNvPr>
        <xdr:cNvSpPr>
          <a:spLocks noChangeShapeType="1"/>
        </xdr:cNvSpPr>
      </xdr:nvSpPr>
      <xdr:spPr bwMode="auto">
        <a:xfrm flipV="1">
          <a:off x="13169900" y="14198600"/>
          <a:ext cx="0" cy="177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393700</xdr:colOff>
      <xdr:row>93</xdr:row>
      <xdr:rowOff>88900</xdr:rowOff>
    </xdr:from>
    <xdr:to>
      <xdr:col>4</xdr:col>
      <xdr:colOff>736600</xdr:colOff>
      <xdr:row>93</xdr:row>
      <xdr:rowOff>88900</xdr:rowOff>
    </xdr:to>
    <xdr:sp macro="" textlink="">
      <xdr:nvSpPr>
        <xdr:cNvPr id="106404" name="Line 70">
          <a:extLst>
            <a:ext uri="{FF2B5EF4-FFF2-40B4-BE49-F238E27FC236}">
              <a16:creationId xmlns:a16="http://schemas.microsoft.com/office/drawing/2014/main" id="{F1D35A93-0BFE-5E4F-853C-3F64DAC8F1B0}"/>
            </a:ext>
          </a:extLst>
        </xdr:cNvPr>
        <xdr:cNvSpPr>
          <a:spLocks noChangeShapeType="1"/>
        </xdr:cNvSpPr>
      </xdr:nvSpPr>
      <xdr:spPr bwMode="auto">
        <a:xfrm flipH="1" flipV="1">
          <a:off x="3086100" y="19151600"/>
          <a:ext cx="342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93</xdr:row>
      <xdr:rowOff>88900</xdr:rowOff>
    </xdr:from>
    <xdr:to>
      <xdr:col>4</xdr:col>
      <xdr:colOff>393700</xdr:colOff>
      <xdr:row>94</xdr:row>
      <xdr:rowOff>0</xdr:rowOff>
    </xdr:to>
    <xdr:sp macro="" textlink="">
      <xdr:nvSpPr>
        <xdr:cNvPr id="106405" name="Line 71">
          <a:extLst>
            <a:ext uri="{FF2B5EF4-FFF2-40B4-BE49-F238E27FC236}">
              <a16:creationId xmlns:a16="http://schemas.microsoft.com/office/drawing/2014/main" id="{3AB979D7-F694-A945-8D43-7D7D3FD78BCB}"/>
            </a:ext>
          </a:extLst>
        </xdr:cNvPr>
        <xdr:cNvSpPr>
          <a:spLocks noChangeShapeType="1"/>
        </xdr:cNvSpPr>
      </xdr:nvSpPr>
      <xdr:spPr bwMode="auto">
        <a:xfrm flipH="1">
          <a:off x="3086100" y="19151600"/>
          <a:ext cx="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165100</xdr:rowOff>
    </xdr:from>
    <xdr:to>
      <xdr:col>18</xdr:col>
      <xdr:colOff>647700</xdr:colOff>
      <xdr:row>36</xdr:row>
      <xdr:rowOff>139700</xdr:rowOff>
    </xdr:to>
    <xdr:sp macro="" textlink="">
      <xdr:nvSpPr>
        <xdr:cNvPr id="106406" name="AutoShape 74">
          <a:extLst>
            <a:ext uri="{FF2B5EF4-FFF2-40B4-BE49-F238E27FC236}">
              <a16:creationId xmlns:a16="http://schemas.microsoft.com/office/drawing/2014/main" id="{ABADA3FB-E793-5E47-9616-38C183C3D81B}"/>
            </a:ext>
          </a:extLst>
        </xdr:cNvPr>
        <xdr:cNvSpPr>
          <a:spLocks/>
        </xdr:cNvSpPr>
      </xdr:nvSpPr>
      <xdr:spPr bwMode="auto">
        <a:xfrm rot="-5400000">
          <a:off x="13106400" y="5626100"/>
          <a:ext cx="152400" cy="1371600"/>
        </a:xfrm>
        <a:prstGeom prst="rightBrace">
          <a:avLst>
            <a:gd name="adj1" fmla="val 75000"/>
            <a:gd name="adj2" fmla="val 261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215900</xdr:colOff>
      <xdr:row>10</xdr:row>
      <xdr:rowOff>25400</xdr:rowOff>
    </xdr:from>
    <xdr:to>
      <xdr:col>12</xdr:col>
      <xdr:colOff>660400</xdr:colOff>
      <xdr:row>15</xdr:row>
      <xdr:rowOff>50800</xdr:rowOff>
    </xdr:to>
    <xdr:sp macro="" textlink="">
      <xdr:nvSpPr>
        <xdr:cNvPr id="106407" name="Rectangle 75" descr="Large grid">
          <a:extLst>
            <a:ext uri="{FF2B5EF4-FFF2-40B4-BE49-F238E27FC236}">
              <a16:creationId xmlns:a16="http://schemas.microsoft.com/office/drawing/2014/main" id="{C232881E-A5B7-274B-BD96-545B5A5CDD25}"/>
            </a:ext>
          </a:extLst>
        </xdr:cNvPr>
        <xdr:cNvSpPr>
          <a:spLocks noChangeArrowheads="1"/>
        </xdr:cNvSpPr>
      </xdr:nvSpPr>
      <xdr:spPr bwMode="auto">
        <a:xfrm>
          <a:off x="7988300" y="1739900"/>
          <a:ext cx="1117600" cy="850900"/>
        </a:xfrm>
        <a:prstGeom prst="rect">
          <a:avLst/>
        </a:prstGeom>
        <a:blipFill dpi="0" rotWithShape="0">
          <a:blip xmlns:r="http://schemas.openxmlformats.org/officeDocument/2006/relationships" r:embed="rId1"/>
          <a:srcRect/>
          <a:tile tx="0" ty="0" sx="100000" sy="100000" flip="none" algn="tl"/>
        </a:blipFill>
        <a:ln w="9525">
          <a:solidFill>
            <a:srgbClr val="000000"/>
          </a:solidFill>
          <a:miter lim="800000"/>
          <a:headEnd/>
          <a:tailEnd/>
        </a:ln>
      </xdr:spPr>
    </xdr:sp>
    <xdr:clientData/>
  </xdr:twoCellAnchor>
  <xdr:twoCellAnchor>
    <xdr:from>
      <xdr:col>11</xdr:col>
      <xdr:colOff>215900</xdr:colOff>
      <xdr:row>15</xdr:row>
      <xdr:rowOff>50800</xdr:rowOff>
    </xdr:from>
    <xdr:to>
      <xdr:col>12</xdr:col>
      <xdr:colOff>660400</xdr:colOff>
      <xdr:row>15</xdr:row>
      <xdr:rowOff>127000</xdr:rowOff>
    </xdr:to>
    <xdr:sp macro="" textlink="">
      <xdr:nvSpPr>
        <xdr:cNvPr id="106408" name="Rectangle 76">
          <a:extLst>
            <a:ext uri="{FF2B5EF4-FFF2-40B4-BE49-F238E27FC236}">
              <a16:creationId xmlns:a16="http://schemas.microsoft.com/office/drawing/2014/main" id="{FB5BA5D6-34DB-464C-9A08-9B3ACD3DB8ED}"/>
            </a:ext>
          </a:extLst>
        </xdr:cNvPr>
        <xdr:cNvSpPr>
          <a:spLocks noChangeArrowheads="1"/>
        </xdr:cNvSpPr>
      </xdr:nvSpPr>
      <xdr:spPr bwMode="auto">
        <a:xfrm>
          <a:off x="7988300" y="2590800"/>
          <a:ext cx="1117600" cy="762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11</xdr:col>
      <xdr:colOff>215900</xdr:colOff>
      <xdr:row>9</xdr:row>
      <xdr:rowOff>101600</xdr:rowOff>
    </xdr:from>
    <xdr:to>
      <xdr:col>12</xdr:col>
      <xdr:colOff>660400</xdr:colOff>
      <xdr:row>10</xdr:row>
      <xdr:rowOff>25400</xdr:rowOff>
    </xdr:to>
    <xdr:sp macro="" textlink="">
      <xdr:nvSpPr>
        <xdr:cNvPr id="106409" name="Rectangle 77">
          <a:extLst>
            <a:ext uri="{FF2B5EF4-FFF2-40B4-BE49-F238E27FC236}">
              <a16:creationId xmlns:a16="http://schemas.microsoft.com/office/drawing/2014/main" id="{24865239-57B0-464C-BC2D-C243A26EE228}"/>
            </a:ext>
          </a:extLst>
        </xdr:cNvPr>
        <xdr:cNvSpPr>
          <a:spLocks noChangeArrowheads="1"/>
        </xdr:cNvSpPr>
      </xdr:nvSpPr>
      <xdr:spPr bwMode="auto">
        <a:xfrm>
          <a:off x="7988300" y="1651000"/>
          <a:ext cx="1117600" cy="889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12</xdr:col>
      <xdr:colOff>114300</xdr:colOff>
      <xdr:row>7</xdr:row>
      <xdr:rowOff>38100</xdr:rowOff>
    </xdr:from>
    <xdr:to>
      <xdr:col>12</xdr:col>
      <xdr:colOff>114300</xdr:colOff>
      <xdr:row>9</xdr:row>
      <xdr:rowOff>101600</xdr:rowOff>
    </xdr:to>
    <xdr:sp macro="" textlink="">
      <xdr:nvSpPr>
        <xdr:cNvPr id="106410" name="Line 78">
          <a:extLst>
            <a:ext uri="{FF2B5EF4-FFF2-40B4-BE49-F238E27FC236}">
              <a16:creationId xmlns:a16="http://schemas.microsoft.com/office/drawing/2014/main" id="{A163FFEA-F6B3-B64A-8442-587D40B35D14}"/>
            </a:ext>
          </a:extLst>
        </xdr:cNvPr>
        <xdr:cNvSpPr>
          <a:spLocks noChangeShapeType="1"/>
        </xdr:cNvSpPr>
      </xdr:nvSpPr>
      <xdr:spPr bwMode="auto">
        <a:xfrm flipV="1">
          <a:off x="8559800" y="1257300"/>
          <a:ext cx="0" cy="39370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101600</xdr:colOff>
      <xdr:row>2</xdr:row>
      <xdr:rowOff>76200</xdr:rowOff>
    </xdr:from>
    <xdr:to>
      <xdr:col>12</xdr:col>
      <xdr:colOff>101600</xdr:colOff>
      <xdr:row>6</xdr:row>
      <xdr:rowOff>139700</xdr:rowOff>
    </xdr:to>
    <xdr:sp macro="" textlink="">
      <xdr:nvSpPr>
        <xdr:cNvPr id="106411" name="Line 79">
          <a:extLst>
            <a:ext uri="{FF2B5EF4-FFF2-40B4-BE49-F238E27FC236}">
              <a16:creationId xmlns:a16="http://schemas.microsoft.com/office/drawing/2014/main" id="{E4E5C740-E727-9D44-8841-A4AB4D405366}"/>
            </a:ext>
          </a:extLst>
        </xdr:cNvPr>
        <xdr:cNvSpPr>
          <a:spLocks noChangeShapeType="1"/>
        </xdr:cNvSpPr>
      </xdr:nvSpPr>
      <xdr:spPr bwMode="auto">
        <a:xfrm flipV="1">
          <a:off x="8547100" y="469900"/>
          <a:ext cx="0" cy="7239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88900</xdr:colOff>
      <xdr:row>15</xdr:row>
      <xdr:rowOff>114300</xdr:rowOff>
    </xdr:from>
    <xdr:to>
      <xdr:col>12</xdr:col>
      <xdr:colOff>88900</xdr:colOff>
      <xdr:row>22</xdr:row>
      <xdr:rowOff>76200</xdr:rowOff>
    </xdr:to>
    <xdr:sp macro="" textlink="">
      <xdr:nvSpPr>
        <xdr:cNvPr id="106412" name="Line 80">
          <a:extLst>
            <a:ext uri="{FF2B5EF4-FFF2-40B4-BE49-F238E27FC236}">
              <a16:creationId xmlns:a16="http://schemas.microsoft.com/office/drawing/2014/main" id="{126B7784-A040-D84C-87F6-39A7FA14532E}"/>
            </a:ext>
          </a:extLst>
        </xdr:cNvPr>
        <xdr:cNvSpPr>
          <a:spLocks noChangeShapeType="1"/>
        </xdr:cNvSpPr>
      </xdr:nvSpPr>
      <xdr:spPr bwMode="auto">
        <a:xfrm flipV="1">
          <a:off x="8534400" y="2654300"/>
          <a:ext cx="0" cy="11176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25400</xdr:colOff>
      <xdr:row>12</xdr:row>
      <xdr:rowOff>101600</xdr:rowOff>
    </xdr:from>
    <xdr:to>
      <xdr:col>14</xdr:col>
      <xdr:colOff>101600</xdr:colOff>
      <xdr:row>12</xdr:row>
      <xdr:rowOff>101600</xdr:rowOff>
    </xdr:to>
    <xdr:sp macro="" textlink="">
      <xdr:nvSpPr>
        <xdr:cNvPr id="106413" name="Line 81">
          <a:extLst>
            <a:ext uri="{FF2B5EF4-FFF2-40B4-BE49-F238E27FC236}">
              <a16:creationId xmlns:a16="http://schemas.microsoft.com/office/drawing/2014/main" id="{290828FB-F2E5-0742-AE89-FB9B37F26A0B}"/>
            </a:ext>
          </a:extLst>
        </xdr:cNvPr>
        <xdr:cNvSpPr>
          <a:spLocks noChangeShapeType="1"/>
        </xdr:cNvSpPr>
      </xdr:nvSpPr>
      <xdr:spPr bwMode="auto">
        <a:xfrm>
          <a:off x="9144000" y="2146300"/>
          <a:ext cx="7493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127000</xdr:colOff>
      <xdr:row>12</xdr:row>
      <xdr:rowOff>101600</xdr:rowOff>
    </xdr:from>
    <xdr:to>
      <xdr:col>11</xdr:col>
      <xdr:colOff>190500</xdr:colOff>
      <xdr:row>12</xdr:row>
      <xdr:rowOff>101600</xdr:rowOff>
    </xdr:to>
    <xdr:sp macro="" textlink="">
      <xdr:nvSpPr>
        <xdr:cNvPr id="106414" name="Line 82">
          <a:extLst>
            <a:ext uri="{FF2B5EF4-FFF2-40B4-BE49-F238E27FC236}">
              <a16:creationId xmlns:a16="http://schemas.microsoft.com/office/drawing/2014/main" id="{76EAD357-262B-0447-AAEA-85F297F44217}"/>
            </a:ext>
          </a:extLst>
        </xdr:cNvPr>
        <xdr:cNvSpPr>
          <a:spLocks noChangeShapeType="1"/>
        </xdr:cNvSpPr>
      </xdr:nvSpPr>
      <xdr:spPr bwMode="auto">
        <a:xfrm>
          <a:off x="7226300" y="2146300"/>
          <a:ext cx="7366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266700</xdr:colOff>
      <xdr:row>2</xdr:row>
      <xdr:rowOff>12700</xdr:rowOff>
    </xdr:from>
    <xdr:to>
      <xdr:col>12</xdr:col>
      <xdr:colOff>342900</xdr:colOff>
      <xdr:row>3</xdr:row>
      <xdr:rowOff>50800</xdr:rowOff>
    </xdr:to>
    <xdr:sp macro="" textlink="">
      <xdr:nvSpPr>
        <xdr:cNvPr id="106415" name="Text Box 83">
          <a:extLst>
            <a:ext uri="{FF2B5EF4-FFF2-40B4-BE49-F238E27FC236}">
              <a16:creationId xmlns:a16="http://schemas.microsoft.com/office/drawing/2014/main" id="{E8132256-A49C-674D-B965-640A70AE0147}"/>
            </a:ext>
          </a:extLst>
        </xdr:cNvPr>
        <xdr:cNvSpPr txBox="1">
          <a:spLocks noChangeArrowheads="1"/>
        </xdr:cNvSpPr>
      </xdr:nvSpPr>
      <xdr:spPr bwMode="auto">
        <a:xfrm>
          <a:off x="8712200" y="40640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663575</xdr:colOff>
      <xdr:row>1</xdr:row>
      <xdr:rowOff>28575</xdr:rowOff>
    </xdr:from>
    <xdr:ext cx="171715" cy="170560"/>
    <xdr:sp macro="" textlink="">
      <xdr:nvSpPr>
        <xdr:cNvPr id="10324" name="Text Box 84">
          <a:extLst>
            <a:ext uri="{FF2B5EF4-FFF2-40B4-BE49-F238E27FC236}">
              <a16:creationId xmlns:a16="http://schemas.microsoft.com/office/drawing/2014/main" id="{84C85E74-2390-184E-AA30-39985F6A2750}"/>
            </a:ext>
          </a:extLst>
        </xdr:cNvPr>
        <xdr:cNvSpPr txBox="1">
          <a:spLocks noChangeArrowheads="1"/>
        </xdr:cNvSpPr>
      </xdr:nvSpPr>
      <xdr:spPr bwMode="auto">
        <a:xfrm>
          <a:off x="8435975" y="269875"/>
          <a:ext cx="17171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12</xdr:col>
      <xdr:colOff>0</xdr:colOff>
      <xdr:row>22</xdr:row>
      <xdr:rowOff>123825</xdr:rowOff>
    </xdr:from>
    <xdr:ext cx="152209" cy="170560"/>
    <xdr:sp macro="" textlink="">
      <xdr:nvSpPr>
        <xdr:cNvPr id="10325" name="Text Box 85">
          <a:extLst>
            <a:ext uri="{FF2B5EF4-FFF2-40B4-BE49-F238E27FC236}">
              <a16:creationId xmlns:a16="http://schemas.microsoft.com/office/drawing/2014/main" id="{5CF315B7-60BF-684A-9DAB-78D057F06B1B}"/>
            </a:ext>
          </a:extLst>
        </xdr:cNvPr>
        <xdr:cNvSpPr txBox="1">
          <a:spLocks noChangeArrowheads="1"/>
        </xdr:cNvSpPr>
      </xdr:nvSpPr>
      <xdr:spPr bwMode="auto">
        <a:xfrm>
          <a:off x="7581900" y="3762375"/>
          <a:ext cx="13952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9</xdr:col>
      <xdr:colOff>657225</xdr:colOff>
      <xdr:row>12</xdr:row>
      <xdr:rowOff>28575</xdr:rowOff>
    </xdr:from>
    <xdr:ext cx="178896" cy="170560"/>
    <xdr:sp macro="" textlink="">
      <xdr:nvSpPr>
        <xdr:cNvPr id="10326" name="Text Box 86">
          <a:extLst>
            <a:ext uri="{FF2B5EF4-FFF2-40B4-BE49-F238E27FC236}">
              <a16:creationId xmlns:a16="http://schemas.microsoft.com/office/drawing/2014/main" id="{9B9BA1F2-5E25-A94B-842C-000C019F65D1}"/>
            </a:ext>
          </a:extLst>
        </xdr:cNvPr>
        <xdr:cNvSpPr txBox="1">
          <a:spLocks noChangeArrowheads="1"/>
        </xdr:cNvSpPr>
      </xdr:nvSpPr>
      <xdr:spPr bwMode="auto">
        <a:xfrm>
          <a:off x="6931025" y="2073275"/>
          <a:ext cx="178896"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14</xdr:col>
      <xdr:colOff>117475</xdr:colOff>
      <xdr:row>12</xdr:row>
      <xdr:rowOff>9525</xdr:rowOff>
    </xdr:from>
    <xdr:ext cx="158933" cy="170560"/>
    <xdr:sp macro="" textlink="">
      <xdr:nvSpPr>
        <xdr:cNvPr id="10327" name="Text Box 87">
          <a:extLst>
            <a:ext uri="{FF2B5EF4-FFF2-40B4-BE49-F238E27FC236}">
              <a16:creationId xmlns:a16="http://schemas.microsoft.com/office/drawing/2014/main" id="{8864AD2B-40FB-BC4F-A9FA-227713E48154}"/>
            </a:ext>
          </a:extLst>
        </xdr:cNvPr>
        <xdr:cNvSpPr txBox="1">
          <a:spLocks noChangeArrowheads="1"/>
        </xdr:cNvSpPr>
      </xdr:nvSpPr>
      <xdr:spPr bwMode="auto">
        <a:xfrm>
          <a:off x="8905875" y="2028825"/>
          <a:ext cx="14670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11</xdr:col>
      <xdr:colOff>644525</xdr:colOff>
      <xdr:row>12</xdr:row>
      <xdr:rowOff>0</xdr:rowOff>
    </xdr:from>
    <xdr:ext cx="178896" cy="170560"/>
    <xdr:sp macro="" textlink="">
      <xdr:nvSpPr>
        <xdr:cNvPr id="10328" name="Text Box 88">
          <a:extLst>
            <a:ext uri="{FF2B5EF4-FFF2-40B4-BE49-F238E27FC236}">
              <a16:creationId xmlns:a16="http://schemas.microsoft.com/office/drawing/2014/main" id="{10AC9730-2759-4A4B-B429-7685B2AE68BF}"/>
            </a:ext>
          </a:extLst>
        </xdr:cNvPr>
        <xdr:cNvSpPr txBox="1">
          <a:spLocks noChangeArrowheads="1"/>
        </xdr:cNvSpPr>
      </xdr:nvSpPr>
      <xdr:spPr bwMode="auto">
        <a:xfrm>
          <a:off x="8416925" y="2044700"/>
          <a:ext cx="178896"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+Y</a:t>
          </a:r>
        </a:p>
      </xdr:txBody>
    </xdr:sp>
    <xdr:clientData/>
  </xdr:oneCellAnchor>
  <xdr:twoCellAnchor>
    <xdr:from>
      <xdr:col>10</xdr:col>
      <xdr:colOff>228600</xdr:colOff>
      <xdr:row>1</xdr:row>
      <xdr:rowOff>114300</xdr:rowOff>
    </xdr:from>
    <xdr:to>
      <xdr:col>12</xdr:col>
      <xdr:colOff>50800</xdr:colOff>
      <xdr:row>9</xdr:row>
      <xdr:rowOff>63500</xdr:rowOff>
    </xdr:to>
    <xdr:sp macro="" textlink="">
      <xdr:nvSpPr>
        <xdr:cNvPr id="106421" name="Line 89">
          <a:extLst>
            <a:ext uri="{FF2B5EF4-FFF2-40B4-BE49-F238E27FC236}">
              <a16:creationId xmlns:a16="http://schemas.microsoft.com/office/drawing/2014/main" id="{6A45647E-300E-E349-BBE1-FF024D4267EE}"/>
            </a:ext>
          </a:extLst>
        </xdr:cNvPr>
        <xdr:cNvSpPr>
          <a:spLocks noChangeShapeType="1"/>
        </xdr:cNvSpPr>
      </xdr:nvSpPr>
      <xdr:spPr bwMode="auto">
        <a:xfrm flipH="1" flipV="1">
          <a:off x="7327900" y="355600"/>
          <a:ext cx="1168400" cy="125730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11</xdr:col>
      <xdr:colOff>215900</xdr:colOff>
      <xdr:row>3</xdr:row>
      <xdr:rowOff>0</xdr:rowOff>
    </xdr:from>
    <xdr:ext cx="243251" cy="170560"/>
    <xdr:sp macro="" textlink="">
      <xdr:nvSpPr>
        <xdr:cNvPr id="10330" name="Text Box 90">
          <a:extLst>
            <a:ext uri="{FF2B5EF4-FFF2-40B4-BE49-F238E27FC236}">
              <a16:creationId xmlns:a16="http://schemas.microsoft.com/office/drawing/2014/main" id="{32653F9D-42F1-C743-913C-F05F9D09C586}"/>
            </a:ext>
          </a:extLst>
        </xdr:cNvPr>
        <xdr:cNvSpPr txBox="1">
          <a:spLocks noChangeArrowheads="1"/>
        </xdr:cNvSpPr>
      </xdr:nvSpPr>
      <xdr:spPr bwMode="auto">
        <a:xfrm>
          <a:off x="7162800" y="561975"/>
          <a:ext cx="23044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2,3</a:t>
          </a:r>
        </a:p>
      </xdr:txBody>
    </xdr:sp>
    <xdr:clientData/>
  </xdr:oneCellAnchor>
  <xdr:twoCellAnchor>
    <xdr:from>
      <xdr:col>11</xdr:col>
      <xdr:colOff>50800</xdr:colOff>
      <xdr:row>4</xdr:row>
      <xdr:rowOff>25400</xdr:rowOff>
    </xdr:from>
    <xdr:to>
      <xdr:col>11</xdr:col>
      <xdr:colOff>177800</xdr:colOff>
      <xdr:row>4</xdr:row>
      <xdr:rowOff>114300</xdr:rowOff>
    </xdr:to>
    <xdr:sp macro="" textlink="">
      <xdr:nvSpPr>
        <xdr:cNvPr id="106423" name="Line 91">
          <a:extLst>
            <a:ext uri="{FF2B5EF4-FFF2-40B4-BE49-F238E27FC236}">
              <a16:creationId xmlns:a16="http://schemas.microsoft.com/office/drawing/2014/main" id="{7B6DBE9C-9094-124F-B9C3-8AD5C4ACED09}"/>
            </a:ext>
          </a:extLst>
        </xdr:cNvPr>
        <xdr:cNvSpPr>
          <a:spLocks noChangeShapeType="1"/>
        </xdr:cNvSpPr>
      </xdr:nvSpPr>
      <xdr:spPr bwMode="auto">
        <a:xfrm flipH="1">
          <a:off x="7823200" y="749300"/>
          <a:ext cx="127000" cy="88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558800</xdr:colOff>
      <xdr:row>3</xdr:row>
      <xdr:rowOff>63500</xdr:rowOff>
    </xdr:from>
    <xdr:to>
      <xdr:col>12</xdr:col>
      <xdr:colOff>63500</xdr:colOff>
      <xdr:row>3</xdr:row>
      <xdr:rowOff>88900</xdr:rowOff>
    </xdr:to>
    <xdr:sp macro="" textlink="">
      <xdr:nvSpPr>
        <xdr:cNvPr id="106424" name="Line 92">
          <a:extLst>
            <a:ext uri="{FF2B5EF4-FFF2-40B4-BE49-F238E27FC236}">
              <a16:creationId xmlns:a16="http://schemas.microsoft.com/office/drawing/2014/main" id="{558562D1-355A-BE42-AD7A-2E80ADE09BBE}"/>
            </a:ext>
          </a:extLst>
        </xdr:cNvPr>
        <xdr:cNvSpPr>
          <a:spLocks noChangeShapeType="1"/>
        </xdr:cNvSpPr>
      </xdr:nvSpPr>
      <xdr:spPr bwMode="auto">
        <a:xfrm flipV="1">
          <a:off x="8331200" y="622300"/>
          <a:ext cx="177800" cy="2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11</xdr:col>
      <xdr:colOff>457200</xdr:colOff>
      <xdr:row>23</xdr:row>
      <xdr:rowOff>104775</xdr:rowOff>
    </xdr:from>
    <xdr:ext cx="517322" cy="170560"/>
    <xdr:sp macro="" textlink="">
      <xdr:nvSpPr>
        <xdr:cNvPr id="10333" name="Text Box 93">
          <a:extLst>
            <a:ext uri="{FF2B5EF4-FFF2-40B4-BE49-F238E27FC236}">
              <a16:creationId xmlns:a16="http://schemas.microsoft.com/office/drawing/2014/main" id="{9C85A73D-A649-3E40-B40E-5FE3D58A4935}"/>
            </a:ext>
          </a:extLst>
        </xdr:cNvPr>
        <xdr:cNvSpPr txBox="1">
          <a:spLocks noChangeArrowheads="1"/>
        </xdr:cNvSpPr>
      </xdr:nvSpPr>
      <xdr:spPr bwMode="auto">
        <a:xfrm>
          <a:off x="8229600" y="3965575"/>
          <a:ext cx="517322"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Figure</a:t>
          </a:r>
          <a:r>
            <a:rPr lang="en-US" sz="1000" b="0" i="0" strike="noStrike">
              <a:solidFill>
                <a:srgbClr val="000000"/>
              </a:solidFill>
              <a:latin typeface="Arial"/>
              <a:cs typeface="Arial"/>
            </a:rPr>
            <a:t> </a:t>
          </a:r>
          <a:r>
            <a:rPr lang="en-US" sz="1000" b="1" i="0" strike="noStrike">
              <a:solidFill>
                <a:srgbClr val="000000"/>
              </a:solidFill>
              <a:latin typeface="Arial"/>
              <a:cs typeface="Arial"/>
            </a:rPr>
            <a:t>3</a:t>
          </a:r>
        </a:p>
      </xdr:txBody>
    </xdr:sp>
    <xdr:clientData/>
  </xdr:oneCellAnchor>
  <xdr:oneCellAnchor>
    <xdr:from>
      <xdr:col>12</xdr:col>
      <xdr:colOff>206375</xdr:colOff>
      <xdr:row>6</xdr:row>
      <xdr:rowOff>123825</xdr:rowOff>
    </xdr:from>
    <xdr:ext cx="581570" cy="170560"/>
    <xdr:sp macro="" textlink="">
      <xdr:nvSpPr>
        <xdr:cNvPr id="10334" name="Text Box 94">
          <a:extLst>
            <a:ext uri="{FF2B5EF4-FFF2-40B4-BE49-F238E27FC236}">
              <a16:creationId xmlns:a16="http://schemas.microsoft.com/office/drawing/2014/main" id="{B0FC06D6-5FE3-5E47-908D-399DBD5599B9}"/>
            </a:ext>
          </a:extLst>
        </xdr:cNvPr>
        <xdr:cNvSpPr txBox="1">
          <a:spLocks noChangeArrowheads="1"/>
        </xdr:cNvSpPr>
      </xdr:nvSpPr>
      <xdr:spPr bwMode="auto">
        <a:xfrm>
          <a:off x="8651875" y="1177925"/>
          <a:ext cx="581570"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Monopole</a:t>
          </a:r>
        </a:p>
      </xdr:txBody>
    </xdr:sp>
    <xdr:clientData/>
  </xdr:oneCellAnchor>
  <xdr:twoCellAnchor>
    <xdr:from>
      <xdr:col>16</xdr:col>
      <xdr:colOff>381000</xdr:colOff>
      <xdr:row>10</xdr:row>
      <xdr:rowOff>38100</xdr:rowOff>
    </xdr:from>
    <xdr:to>
      <xdr:col>18</xdr:col>
      <xdr:colOff>127000</xdr:colOff>
      <xdr:row>15</xdr:row>
      <xdr:rowOff>63500</xdr:rowOff>
    </xdr:to>
    <xdr:sp macro="" textlink="">
      <xdr:nvSpPr>
        <xdr:cNvPr id="106427" name="Rectangle 95" descr="Large grid">
          <a:extLst>
            <a:ext uri="{FF2B5EF4-FFF2-40B4-BE49-F238E27FC236}">
              <a16:creationId xmlns:a16="http://schemas.microsoft.com/office/drawing/2014/main" id="{415CB151-1A95-954C-92CA-430A02479C74}"/>
            </a:ext>
          </a:extLst>
        </xdr:cNvPr>
        <xdr:cNvSpPr>
          <a:spLocks noChangeArrowheads="1"/>
        </xdr:cNvSpPr>
      </xdr:nvSpPr>
      <xdr:spPr bwMode="auto">
        <a:xfrm>
          <a:off x="12204700" y="1752600"/>
          <a:ext cx="1143000" cy="850900"/>
        </a:xfrm>
        <a:prstGeom prst="rect">
          <a:avLst/>
        </a:prstGeom>
        <a:blipFill dpi="0" rotWithShape="0">
          <a:blip xmlns:r="http://schemas.openxmlformats.org/officeDocument/2006/relationships" r:embed="rId1"/>
          <a:srcRect/>
          <a:tile tx="0" ty="0" sx="100000" sy="100000" flip="none" algn="tl"/>
        </a:blipFill>
        <a:ln w="9525">
          <a:solidFill>
            <a:srgbClr val="000000"/>
          </a:solidFill>
          <a:miter lim="800000"/>
          <a:headEnd/>
          <a:tailEnd/>
        </a:ln>
      </xdr:spPr>
    </xdr:sp>
    <xdr:clientData/>
  </xdr:twoCellAnchor>
  <xdr:twoCellAnchor>
    <xdr:from>
      <xdr:col>16</xdr:col>
      <xdr:colOff>381000</xdr:colOff>
      <xdr:row>15</xdr:row>
      <xdr:rowOff>63500</xdr:rowOff>
    </xdr:from>
    <xdr:to>
      <xdr:col>18</xdr:col>
      <xdr:colOff>127000</xdr:colOff>
      <xdr:row>15</xdr:row>
      <xdr:rowOff>139700</xdr:rowOff>
    </xdr:to>
    <xdr:sp macro="" textlink="">
      <xdr:nvSpPr>
        <xdr:cNvPr id="106428" name="Rectangle 96">
          <a:extLst>
            <a:ext uri="{FF2B5EF4-FFF2-40B4-BE49-F238E27FC236}">
              <a16:creationId xmlns:a16="http://schemas.microsoft.com/office/drawing/2014/main" id="{6DB16ED5-5E8D-A446-B816-6156D5F92B59}"/>
            </a:ext>
          </a:extLst>
        </xdr:cNvPr>
        <xdr:cNvSpPr>
          <a:spLocks noChangeArrowheads="1"/>
        </xdr:cNvSpPr>
      </xdr:nvSpPr>
      <xdr:spPr bwMode="auto">
        <a:xfrm>
          <a:off x="12204700" y="2603500"/>
          <a:ext cx="1143000" cy="762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16</xdr:col>
      <xdr:colOff>381000</xdr:colOff>
      <xdr:row>9</xdr:row>
      <xdr:rowOff>114300</xdr:rowOff>
    </xdr:from>
    <xdr:to>
      <xdr:col>18</xdr:col>
      <xdr:colOff>127000</xdr:colOff>
      <xdr:row>10</xdr:row>
      <xdr:rowOff>25400</xdr:rowOff>
    </xdr:to>
    <xdr:sp macro="" textlink="">
      <xdr:nvSpPr>
        <xdr:cNvPr id="106429" name="Rectangle 97">
          <a:extLst>
            <a:ext uri="{FF2B5EF4-FFF2-40B4-BE49-F238E27FC236}">
              <a16:creationId xmlns:a16="http://schemas.microsoft.com/office/drawing/2014/main" id="{8BBEDF08-9D4E-8540-90AE-A04A392B874D}"/>
            </a:ext>
          </a:extLst>
        </xdr:cNvPr>
        <xdr:cNvSpPr>
          <a:spLocks noChangeArrowheads="1"/>
        </xdr:cNvSpPr>
      </xdr:nvSpPr>
      <xdr:spPr bwMode="auto">
        <a:xfrm>
          <a:off x="12204700" y="1663700"/>
          <a:ext cx="1143000" cy="762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17</xdr:col>
      <xdr:colOff>279400</xdr:colOff>
      <xdr:row>2</xdr:row>
      <xdr:rowOff>88900</xdr:rowOff>
    </xdr:from>
    <xdr:to>
      <xdr:col>17</xdr:col>
      <xdr:colOff>279400</xdr:colOff>
      <xdr:row>9</xdr:row>
      <xdr:rowOff>101600</xdr:rowOff>
    </xdr:to>
    <xdr:sp macro="" textlink="">
      <xdr:nvSpPr>
        <xdr:cNvPr id="106430" name="Line 99">
          <a:extLst>
            <a:ext uri="{FF2B5EF4-FFF2-40B4-BE49-F238E27FC236}">
              <a16:creationId xmlns:a16="http://schemas.microsoft.com/office/drawing/2014/main" id="{6CCB57E2-D047-144F-B131-B0C35010B2FF}"/>
            </a:ext>
          </a:extLst>
        </xdr:cNvPr>
        <xdr:cNvSpPr>
          <a:spLocks noChangeShapeType="1"/>
        </xdr:cNvSpPr>
      </xdr:nvSpPr>
      <xdr:spPr bwMode="auto">
        <a:xfrm flipV="1">
          <a:off x="12776200" y="482600"/>
          <a:ext cx="0" cy="1168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266700</xdr:colOff>
      <xdr:row>15</xdr:row>
      <xdr:rowOff>127000</xdr:rowOff>
    </xdr:from>
    <xdr:to>
      <xdr:col>17</xdr:col>
      <xdr:colOff>266700</xdr:colOff>
      <xdr:row>22</xdr:row>
      <xdr:rowOff>88900</xdr:rowOff>
    </xdr:to>
    <xdr:sp macro="" textlink="">
      <xdr:nvSpPr>
        <xdr:cNvPr id="106431" name="Line 100">
          <a:extLst>
            <a:ext uri="{FF2B5EF4-FFF2-40B4-BE49-F238E27FC236}">
              <a16:creationId xmlns:a16="http://schemas.microsoft.com/office/drawing/2014/main" id="{9C9EC696-6016-124B-8334-93CF9920C2DB}"/>
            </a:ext>
          </a:extLst>
        </xdr:cNvPr>
        <xdr:cNvSpPr>
          <a:spLocks noChangeShapeType="1"/>
        </xdr:cNvSpPr>
      </xdr:nvSpPr>
      <xdr:spPr bwMode="auto">
        <a:xfrm flipV="1">
          <a:off x="12763500" y="2667000"/>
          <a:ext cx="0" cy="11176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139700</xdr:colOff>
      <xdr:row>12</xdr:row>
      <xdr:rowOff>101600</xdr:rowOff>
    </xdr:from>
    <xdr:to>
      <xdr:col>19</xdr:col>
      <xdr:colOff>203200</xdr:colOff>
      <xdr:row>12</xdr:row>
      <xdr:rowOff>101600</xdr:rowOff>
    </xdr:to>
    <xdr:sp macro="" textlink="">
      <xdr:nvSpPr>
        <xdr:cNvPr id="106432" name="Line 101">
          <a:extLst>
            <a:ext uri="{FF2B5EF4-FFF2-40B4-BE49-F238E27FC236}">
              <a16:creationId xmlns:a16="http://schemas.microsoft.com/office/drawing/2014/main" id="{7E51F3BD-B984-4F48-8386-16EDD230F2FB}"/>
            </a:ext>
          </a:extLst>
        </xdr:cNvPr>
        <xdr:cNvSpPr>
          <a:spLocks noChangeShapeType="1"/>
        </xdr:cNvSpPr>
      </xdr:nvSpPr>
      <xdr:spPr bwMode="auto">
        <a:xfrm>
          <a:off x="13360400" y="2146300"/>
          <a:ext cx="736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330200</xdr:colOff>
      <xdr:row>12</xdr:row>
      <xdr:rowOff>101600</xdr:rowOff>
    </xdr:from>
    <xdr:to>
      <xdr:col>16</xdr:col>
      <xdr:colOff>393700</xdr:colOff>
      <xdr:row>12</xdr:row>
      <xdr:rowOff>101600</xdr:rowOff>
    </xdr:to>
    <xdr:sp macro="" textlink="">
      <xdr:nvSpPr>
        <xdr:cNvPr id="106433" name="Line 102">
          <a:extLst>
            <a:ext uri="{FF2B5EF4-FFF2-40B4-BE49-F238E27FC236}">
              <a16:creationId xmlns:a16="http://schemas.microsoft.com/office/drawing/2014/main" id="{05A437E8-9076-D745-A9CE-11C9E332AB7D}"/>
            </a:ext>
          </a:extLst>
        </xdr:cNvPr>
        <xdr:cNvSpPr>
          <a:spLocks noChangeShapeType="1"/>
        </xdr:cNvSpPr>
      </xdr:nvSpPr>
      <xdr:spPr bwMode="auto">
        <a:xfrm>
          <a:off x="11480800" y="2146300"/>
          <a:ext cx="736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444500</xdr:colOff>
      <xdr:row>2</xdr:row>
      <xdr:rowOff>25400</xdr:rowOff>
    </xdr:from>
    <xdr:to>
      <xdr:col>17</xdr:col>
      <xdr:colOff>533400</xdr:colOff>
      <xdr:row>3</xdr:row>
      <xdr:rowOff>63500</xdr:rowOff>
    </xdr:to>
    <xdr:sp macro="" textlink="">
      <xdr:nvSpPr>
        <xdr:cNvPr id="106434" name="Text Box 103">
          <a:extLst>
            <a:ext uri="{FF2B5EF4-FFF2-40B4-BE49-F238E27FC236}">
              <a16:creationId xmlns:a16="http://schemas.microsoft.com/office/drawing/2014/main" id="{5425A59D-3732-8342-B87F-63747800037D}"/>
            </a:ext>
          </a:extLst>
        </xdr:cNvPr>
        <xdr:cNvSpPr txBox="1">
          <a:spLocks noChangeArrowheads="1"/>
        </xdr:cNvSpPr>
      </xdr:nvSpPr>
      <xdr:spPr bwMode="auto">
        <a:xfrm>
          <a:off x="12941300" y="419100"/>
          <a:ext cx="88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17</xdr:col>
      <xdr:colOff>177800</xdr:colOff>
      <xdr:row>22</xdr:row>
      <xdr:rowOff>123825</xdr:rowOff>
    </xdr:from>
    <xdr:ext cx="152209" cy="170560"/>
    <xdr:sp macro="" textlink="">
      <xdr:nvSpPr>
        <xdr:cNvPr id="10344" name="Text Box 104">
          <a:extLst>
            <a:ext uri="{FF2B5EF4-FFF2-40B4-BE49-F238E27FC236}">
              <a16:creationId xmlns:a16="http://schemas.microsoft.com/office/drawing/2014/main" id="{A94F5473-2A58-A14C-9577-E8385D1C603C}"/>
            </a:ext>
          </a:extLst>
        </xdr:cNvPr>
        <xdr:cNvSpPr txBox="1">
          <a:spLocks noChangeArrowheads="1"/>
        </xdr:cNvSpPr>
      </xdr:nvSpPr>
      <xdr:spPr bwMode="auto">
        <a:xfrm>
          <a:off x="11363325" y="3762375"/>
          <a:ext cx="13952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15</xdr:col>
      <xdr:colOff>9525</xdr:colOff>
      <xdr:row>12</xdr:row>
      <xdr:rowOff>28575</xdr:rowOff>
    </xdr:from>
    <xdr:ext cx="204451" cy="170560"/>
    <xdr:sp macro="" textlink="">
      <xdr:nvSpPr>
        <xdr:cNvPr id="10345" name="Text Box 105">
          <a:extLst>
            <a:ext uri="{FF2B5EF4-FFF2-40B4-BE49-F238E27FC236}">
              <a16:creationId xmlns:a16="http://schemas.microsoft.com/office/drawing/2014/main" id="{1465CFAC-95B0-934C-ABD1-639EA7CB8AFE}"/>
            </a:ext>
          </a:extLst>
        </xdr:cNvPr>
        <xdr:cNvSpPr txBox="1">
          <a:spLocks noChangeArrowheads="1"/>
        </xdr:cNvSpPr>
      </xdr:nvSpPr>
      <xdr:spPr bwMode="auto">
        <a:xfrm>
          <a:off x="10001250" y="2047875"/>
          <a:ext cx="17889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19</xdr:col>
      <xdr:colOff>244475</xdr:colOff>
      <xdr:row>12</xdr:row>
      <xdr:rowOff>28575</xdr:rowOff>
    </xdr:from>
    <xdr:ext cx="146707" cy="170560"/>
    <xdr:sp macro="" textlink="">
      <xdr:nvSpPr>
        <xdr:cNvPr id="10346" name="Text Box 106">
          <a:extLst>
            <a:ext uri="{FF2B5EF4-FFF2-40B4-BE49-F238E27FC236}">
              <a16:creationId xmlns:a16="http://schemas.microsoft.com/office/drawing/2014/main" id="{CBEEC794-B32E-FA45-B8DD-8006743FC236}"/>
            </a:ext>
          </a:extLst>
        </xdr:cNvPr>
        <xdr:cNvSpPr txBox="1">
          <a:spLocks noChangeArrowheads="1"/>
        </xdr:cNvSpPr>
      </xdr:nvSpPr>
      <xdr:spPr bwMode="auto">
        <a:xfrm>
          <a:off x="12677775" y="2047875"/>
          <a:ext cx="14670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17</xdr:col>
      <xdr:colOff>136525</xdr:colOff>
      <xdr:row>12</xdr:row>
      <xdr:rowOff>9525</xdr:rowOff>
    </xdr:from>
    <xdr:ext cx="204451" cy="170560"/>
    <xdr:sp macro="" textlink="">
      <xdr:nvSpPr>
        <xdr:cNvPr id="10347" name="Text Box 107">
          <a:extLst>
            <a:ext uri="{FF2B5EF4-FFF2-40B4-BE49-F238E27FC236}">
              <a16:creationId xmlns:a16="http://schemas.microsoft.com/office/drawing/2014/main" id="{9BE3EAD1-1C8E-C740-AAE6-D18B2FCCCEB8}"/>
            </a:ext>
          </a:extLst>
        </xdr:cNvPr>
        <xdr:cNvSpPr txBox="1">
          <a:spLocks noChangeArrowheads="1"/>
        </xdr:cNvSpPr>
      </xdr:nvSpPr>
      <xdr:spPr bwMode="auto">
        <a:xfrm>
          <a:off x="11334750" y="2028825"/>
          <a:ext cx="17889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+Y</a:t>
          </a:r>
        </a:p>
      </xdr:txBody>
    </xdr:sp>
    <xdr:clientData/>
  </xdr:oneCellAnchor>
  <xdr:twoCellAnchor>
    <xdr:from>
      <xdr:col>15</xdr:col>
      <xdr:colOff>393700</xdr:colOff>
      <xdr:row>1</xdr:row>
      <xdr:rowOff>127000</xdr:rowOff>
    </xdr:from>
    <xdr:to>
      <xdr:col>17</xdr:col>
      <xdr:colOff>228600</xdr:colOff>
      <xdr:row>12</xdr:row>
      <xdr:rowOff>63500</xdr:rowOff>
    </xdr:to>
    <xdr:sp macro="" textlink="">
      <xdr:nvSpPr>
        <xdr:cNvPr id="106439" name="Line 108">
          <a:extLst>
            <a:ext uri="{FF2B5EF4-FFF2-40B4-BE49-F238E27FC236}">
              <a16:creationId xmlns:a16="http://schemas.microsoft.com/office/drawing/2014/main" id="{A753BBD5-4F23-454A-95BC-20047819D8BE}"/>
            </a:ext>
          </a:extLst>
        </xdr:cNvPr>
        <xdr:cNvSpPr>
          <a:spLocks noChangeShapeType="1"/>
        </xdr:cNvSpPr>
      </xdr:nvSpPr>
      <xdr:spPr bwMode="auto">
        <a:xfrm flipH="1" flipV="1">
          <a:off x="11544300" y="368300"/>
          <a:ext cx="1181100" cy="173990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16</xdr:col>
      <xdr:colOff>371475</xdr:colOff>
      <xdr:row>3</xdr:row>
      <xdr:rowOff>76200</xdr:rowOff>
    </xdr:from>
    <xdr:ext cx="256053" cy="170560"/>
    <xdr:sp macro="" textlink="">
      <xdr:nvSpPr>
        <xdr:cNvPr id="10349" name="Text Box 109">
          <a:extLst>
            <a:ext uri="{FF2B5EF4-FFF2-40B4-BE49-F238E27FC236}">
              <a16:creationId xmlns:a16="http://schemas.microsoft.com/office/drawing/2014/main" id="{31D1AC74-66EC-6844-A7AB-77E51352D66F}"/>
            </a:ext>
          </a:extLst>
        </xdr:cNvPr>
        <xdr:cNvSpPr txBox="1">
          <a:spLocks noChangeArrowheads="1"/>
        </xdr:cNvSpPr>
      </xdr:nvSpPr>
      <xdr:spPr bwMode="auto">
        <a:xfrm>
          <a:off x="10934700" y="638175"/>
          <a:ext cx="23044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2,3</a:t>
          </a:r>
        </a:p>
      </xdr:txBody>
    </xdr:sp>
    <xdr:clientData/>
  </xdr:oneCellAnchor>
  <xdr:twoCellAnchor>
    <xdr:from>
      <xdr:col>16</xdr:col>
      <xdr:colOff>139700</xdr:colOff>
      <xdr:row>4</xdr:row>
      <xdr:rowOff>50800</xdr:rowOff>
    </xdr:from>
    <xdr:to>
      <xdr:col>16</xdr:col>
      <xdr:colOff>342900</xdr:colOff>
      <xdr:row>5</xdr:row>
      <xdr:rowOff>25400</xdr:rowOff>
    </xdr:to>
    <xdr:sp macro="" textlink="">
      <xdr:nvSpPr>
        <xdr:cNvPr id="106441" name="Line 110">
          <a:extLst>
            <a:ext uri="{FF2B5EF4-FFF2-40B4-BE49-F238E27FC236}">
              <a16:creationId xmlns:a16="http://schemas.microsoft.com/office/drawing/2014/main" id="{B6DD59A8-5D4D-E24E-97CC-F5F3A840A738}"/>
            </a:ext>
          </a:extLst>
        </xdr:cNvPr>
        <xdr:cNvSpPr>
          <a:spLocks noChangeShapeType="1"/>
        </xdr:cNvSpPr>
      </xdr:nvSpPr>
      <xdr:spPr bwMode="auto">
        <a:xfrm flipH="1">
          <a:off x="11963400" y="774700"/>
          <a:ext cx="203200" cy="139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647700</xdr:colOff>
      <xdr:row>3</xdr:row>
      <xdr:rowOff>76200</xdr:rowOff>
    </xdr:from>
    <xdr:to>
      <xdr:col>17</xdr:col>
      <xdr:colOff>241300</xdr:colOff>
      <xdr:row>3</xdr:row>
      <xdr:rowOff>114300</xdr:rowOff>
    </xdr:to>
    <xdr:sp macro="" textlink="">
      <xdr:nvSpPr>
        <xdr:cNvPr id="106442" name="Line 111">
          <a:extLst>
            <a:ext uri="{FF2B5EF4-FFF2-40B4-BE49-F238E27FC236}">
              <a16:creationId xmlns:a16="http://schemas.microsoft.com/office/drawing/2014/main" id="{5BA3EB16-33D0-854A-9522-7BA17E8DC681}"/>
            </a:ext>
          </a:extLst>
        </xdr:cNvPr>
        <xdr:cNvSpPr>
          <a:spLocks noChangeShapeType="1"/>
        </xdr:cNvSpPr>
      </xdr:nvSpPr>
      <xdr:spPr bwMode="auto">
        <a:xfrm flipV="1">
          <a:off x="12471400" y="635000"/>
          <a:ext cx="266700" cy="38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16</xdr:col>
      <xdr:colOff>635000</xdr:colOff>
      <xdr:row>23</xdr:row>
      <xdr:rowOff>104775</xdr:rowOff>
    </xdr:from>
    <xdr:ext cx="517321" cy="170560"/>
    <xdr:sp macro="" textlink="">
      <xdr:nvSpPr>
        <xdr:cNvPr id="10352" name="Text Box 112">
          <a:extLst>
            <a:ext uri="{FF2B5EF4-FFF2-40B4-BE49-F238E27FC236}">
              <a16:creationId xmlns:a16="http://schemas.microsoft.com/office/drawing/2014/main" id="{77302E22-061D-2147-B40A-A9C3059F93E8}"/>
            </a:ext>
          </a:extLst>
        </xdr:cNvPr>
        <xdr:cNvSpPr txBox="1">
          <a:spLocks noChangeArrowheads="1"/>
        </xdr:cNvSpPr>
      </xdr:nvSpPr>
      <xdr:spPr bwMode="auto">
        <a:xfrm>
          <a:off x="11172825" y="3905250"/>
          <a:ext cx="517321"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Figure</a:t>
          </a:r>
          <a:r>
            <a:rPr lang="en-US" sz="1000" b="0" i="0" strike="noStrike">
              <a:solidFill>
                <a:srgbClr val="000000"/>
              </a:solidFill>
              <a:latin typeface="Arial"/>
              <a:cs typeface="Arial"/>
            </a:rPr>
            <a:t> </a:t>
          </a:r>
          <a:r>
            <a:rPr lang="en-US" sz="1000" b="1" i="0" strike="noStrike">
              <a:solidFill>
                <a:srgbClr val="000000"/>
              </a:solidFill>
              <a:latin typeface="Arial"/>
              <a:cs typeface="Arial"/>
            </a:rPr>
            <a:t>4</a:t>
          </a:r>
        </a:p>
      </xdr:txBody>
    </xdr:sp>
    <xdr:clientData/>
  </xdr:oneCellAnchor>
  <xdr:oneCellAnchor>
    <xdr:from>
      <xdr:col>18</xdr:col>
      <xdr:colOff>244475</xdr:colOff>
      <xdr:row>13</xdr:row>
      <xdr:rowOff>47625</xdr:rowOff>
    </xdr:from>
    <xdr:ext cx="420089" cy="170560"/>
    <xdr:sp macro="" textlink="">
      <xdr:nvSpPr>
        <xdr:cNvPr id="10353" name="Text Box 113">
          <a:extLst>
            <a:ext uri="{FF2B5EF4-FFF2-40B4-BE49-F238E27FC236}">
              <a16:creationId xmlns:a16="http://schemas.microsoft.com/office/drawing/2014/main" id="{5F11315E-A6B8-4748-931D-E85AB38DACB9}"/>
            </a:ext>
          </a:extLst>
        </xdr:cNvPr>
        <xdr:cNvSpPr txBox="1">
          <a:spLocks noChangeArrowheads="1"/>
        </xdr:cNvSpPr>
      </xdr:nvSpPr>
      <xdr:spPr bwMode="auto">
        <a:xfrm>
          <a:off x="12068175" y="2228850"/>
          <a:ext cx="381899"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Dipole</a:t>
          </a:r>
        </a:p>
      </xdr:txBody>
    </xdr:sp>
    <xdr:clientData/>
  </xdr:oneCellAnchor>
  <xdr:twoCellAnchor>
    <xdr:from>
      <xdr:col>22</xdr:col>
      <xdr:colOff>431800</xdr:colOff>
      <xdr:row>10</xdr:row>
      <xdr:rowOff>25400</xdr:rowOff>
    </xdr:from>
    <xdr:to>
      <xdr:col>24</xdr:col>
      <xdr:colOff>215900</xdr:colOff>
      <xdr:row>15</xdr:row>
      <xdr:rowOff>50800</xdr:rowOff>
    </xdr:to>
    <xdr:sp macro="" textlink="">
      <xdr:nvSpPr>
        <xdr:cNvPr id="106445" name="Rectangle 114" descr="Large grid">
          <a:extLst>
            <a:ext uri="{FF2B5EF4-FFF2-40B4-BE49-F238E27FC236}">
              <a16:creationId xmlns:a16="http://schemas.microsoft.com/office/drawing/2014/main" id="{6EC43BA4-AD5A-6040-B148-963D95BFB930}"/>
            </a:ext>
          </a:extLst>
        </xdr:cNvPr>
        <xdr:cNvSpPr>
          <a:spLocks noChangeArrowheads="1"/>
        </xdr:cNvSpPr>
      </xdr:nvSpPr>
      <xdr:spPr bwMode="auto">
        <a:xfrm>
          <a:off x="16344900" y="1739900"/>
          <a:ext cx="1130300" cy="850900"/>
        </a:xfrm>
        <a:prstGeom prst="rect">
          <a:avLst/>
        </a:prstGeom>
        <a:blipFill dpi="0" rotWithShape="0">
          <a:blip xmlns:r="http://schemas.openxmlformats.org/officeDocument/2006/relationships" r:embed="rId1"/>
          <a:srcRect/>
          <a:tile tx="0" ty="0" sx="100000" sy="100000" flip="none" algn="tl"/>
        </a:blipFill>
        <a:ln w="9525">
          <a:solidFill>
            <a:srgbClr val="000000"/>
          </a:solidFill>
          <a:miter lim="800000"/>
          <a:headEnd/>
          <a:tailEnd/>
        </a:ln>
      </xdr:spPr>
    </xdr:sp>
    <xdr:clientData/>
  </xdr:twoCellAnchor>
  <xdr:twoCellAnchor>
    <xdr:from>
      <xdr:col>22</xdr:col>
      <xdr:colOff>431800</xdr:colOff>
      <xdr:row>15</xdr:row>
      <xdr:rowOff>50800</xdr:rowOff>
    </xdr:from>
    <xdr:to>
      <xdr:col>24</xdr:col>
      <xdr:colOff>215900</xdr:colOff>
      <xdr:row>15</xdr:row>
      <xdr:rowOff>127000</xdr:rowOff>
    </xdr:to>
    <xdr:sp macro="" textlink="">
      <xdr:nvSpPr>
        <xdr:cNvPr id="106446" name="Rectangle 115">
          <a:extLst>
            <a:ext uri="{FF2B5EF4-FFF2-40B4-BE49-F238E27FC236}">
              <a16:creationId xmlns:a16="http://schemas.microsoft.com/office/drawing/2014/main" id="{0025D307-0296-674F-B4FD-4AF3EF255769}"/>
            </a:ext>
          </a:extLst>
        </xdr:cNvPr>
        <xdr:cNvSpPr>
          <a:spLocks noChangeArrowheads="1"/>
        </xdr:cNvSpPr>
      </xdr:nvSpPr>
      <xdr:spPr bwMode="auto">
        <a:xfrm>
          <a:off x="16344900" y="2590800"/>
          <a:ext cx="1130300" cy="762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22</xdr:col>
      <xdr:colOff>431800</xdr:colOff>
      <xdr:row>9</xdr:row>
      <xdr:rowOff>101600</xdr:rowOff>
    </xdr:from>
    <xdr:to>
      <xdr:col>24</xdr:col>
      <xdr:colOff>215900</xdr:colOff>
      <xdr:row>10</xdr:row>
      <xdr:rowOff>25400</xdr:rowOff>
    </xdr:to>
    <xdr:sp macro="" textlink="">
      <xdr:nvSpPr>
        <xdr:cNvPr id="106447" name="Rectangle 116">
          <a:extLst>
            <a:ext uri="{FF2B5EF4-FFF2-40B4-BE49-F238E27FC236}">
              <a16:creationId xmlns:a16="http://schemas.microsoft.com/office/drawing/2014/main" id="{C87C0992-E1C8-1047-8C15-E2F85AB72146}"/>
            </a:ext>
          </a:extLst>
        </xdr:cNvPr>
        <xdr:cNvSpPr>
          <a:spLocks noChangeArrowheads="1"/>
        </xdr:cNvSpPr>
      </xdr:nvSpPr>
      <xdr:spPr bwMode="auto">
        <a:xfrm>
          <a:off x="16344900" y="1651000"/>
          <a:ext cx="1130300" cy="889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22</xdr:col>
      <xdr:colOff>101600</xdr:colOff>
      <xdr:row>15</xdr:row>
      <xdr:rowOff>127000</xdr:rowOff>
    </xdr:from>
    <xdr:to>
      <xdr:col>22</xdr:col>
      <xdr:colOff>609600</xdr:colOff>
      <xdr:row>19</xdr:row>
      <xdr:rowOff>76200</xdr:rowOff>
    </xdr:to>
    <xdr:sp macro="" textlink="">
      <xdr:nvSpPr>
        <xdr:cNvPr id="106448" name="Line 117">
          <a:extLst>
            <a:ext uri="{FF2B5EF4-FFF2-40B4-BE49-F238E27FC236}">
              <a16:creationId xmlns:a16="http://schemas.microsoft.com/office/drawing/2014/main" id="{85C87D7B-8239-2A4F-BCDB-4350836EC4DC}"/>
            </a:ext>
          </a:extLst>
        </xdr:cNvPr>
        <xdr:cNvSpPr>
          <a:spLocks noChangeShapeType="1"/>
        </xdr:cNvSpPr>
      </xdr:nvSpPr>
      <xdr:spPr bwMode="auto">
        <a:xfrm flipV="1">
          <a:off x="16014700" y="2667000"/>
          <a:ext cx="508000" cy="60960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330200</xdr:colOff>
      <xdr:row>2</xdr:row>
      <xdr:rowOff>76200</xdr:rowOff>
    </xdr:from>
    <xdr:to>
      <xdr:col>23</xdr:col>
      <xdr:colOff>330200</xdr:colOff>
      <xdr:row>9</xdr:row>
      <xdr:rowOff>114300</xdr:rowOff>
    </xdr:to>
    <xdr:sp macro="" textlink="">
      <xdr:nvSpPr>
        <xdr:cNvPr id="106449" name="Line 118">
          <a:extLst>
            <a:ext uri="{FF2B5EF4-FFF2-40B4-BE49-F238E27FC236}">
              <a16:creationId xmlns:a16="http://schemas.microsoft.com/office/drawing/2014/main" id="{6B3B8707-8397-B044-AB2A-13817DF47CB5}"/>
            </a:ext>
          </a:extLst>
        </xdr:cNvPr>
        <xdr:cNvSpPr>
          <a:spLocks noChangeShapeType="1"/>
        </xdr:cNvSpPr>
      </xdr:nvSpPr>
      <xdr:spPr bwMode="auto">
        <a:xfrm flipV="1">
          <a:off x="16916400" y="469900"/>
          <a:ext cx="0" cy="11938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317500</xdr:colOff>
      <xdr:row>15</xdr:row>
      <xdr:rowOff>114300</xdr:rowOff>
    </xdr:from>
    <xdr:to>
      <xdr:col>23</xdr:col>
      <xdr:colOff>317500</xdr:colOff>
      <xdr:row>22</xdr:row>
      <xdr:rowOff>76200</xdr:rowOff>
    </xdr:to>
    <xdr:sp macro="" textlink="">
      <xdr:nvSpPr>
        <xdr:cNvPr id="106450" name="Line 119">
          <a:extLst>
            <a:ext uri="{FF2B5EF4-FFF2-40B4-BE49-F238E27FC236}">
              <a16:creationId xmlns:a16="http://schemas.microsoft.com/office/drawing/2014/main" id="{CCE84B97-EEB2-3444-9F65-3CF5A38354AD}"/>
            </a:ext>
          </a:extLst>
        </xdr:cNvPr>
        <xdr:cNvSpPr>
          <a:spLocks noChangeShapeType="1"/>
        </xdr:cNvSpPr>
      </xdr:nvSpPr>
      <xdr:spPr bwMode="auto">
        <a:xfrm flipV="1">
          <a:off x="16903700" y="2654300"/>
          <a:ext cx="0" cy="11176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254000</xdr:colOff>
      <xdr:row>12</xdr:row>
      <xdr:rowOff>101600</xdr:rowOff>
    </xdr:from>
    <xdr:to>
      <xdr:col>25</xdr:col>
      <xdr:colOff>317500</xdr:colOff>
      <xdr:row>12</xdr:row>
      <xdr:rowOff>101600</xdr:rowOff>
    </xdr:to>
    <xdr:sp macro="" textlink="">
      <xdr:nvSpPr>
        <xdr:cNvPr id="106451" name="Line 120">
          <a:extLst>
            <a:ext uri="{FF2B5EF4-FFF2-40B4-BE49-F238E27FC236}">
              <a16:creationId xmlns:a16="http://schemas.microsoft.com/office/drawing/2014/main" id="{99F14967-372E-CC43-BFCE-361C63C26D17}"/>
            </a:ext>
          </a:extLst>
        </xdr:cNvPr>
        <xdr:cNvSpPr>
          <a:spLocks noChangeShapeType="1"/>
        </xdr:cNvSpPr>
      </xdr:nvSpPr>
      <xdr:spPr bwMode="auto">
        <a:xfrm>
          <a:off x="17513300" y="2146300"/>
          <a:ext cx="7366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21</xdr:col>
      <xdr:colOff>342900</xdr:colOff>
      <xdr:row>12</xdr:row>
      <xdr:rowOff>101600</xdr:rowOff>
    </xdr:from>
    <xdr:to>
      <xdr:col>22</xdr:col>
      <xdr:colOff>406400</xdr:colOff>
      <xdr:row>12</xdr:row>
      <xdr:rowOff>101600</xdr:rowOff>
    </xdr:to>
    <xdr:sp macro="" textlink="">
      <xdr:nvSpPr>
        <xdr:cNvPr id="106452" name="Line 121">
          <a:extLst>
            <a:ext uri="{FF2B5EF4-FFF2-40B4-BE49-F238E27FC236}">
              <a16:creationId xmlns:a16="http://schemas.microsoft.com/office/drawing/2014/main" id="{20CDCAE2-F693-084E-9F6E-A3B99D91392C}"/>
            </a:ext>
          </a:extLst>
        </xdr:cNvPr>
        <xdr:cNvSpPr>
          <a:spLocks noChangeShapeType="1"/>
        </xdr:cNvSpPr>
      </xdr:nvSpPr>
      <xdr:spPr bwMode="auto">
        <a:xfrm>
          <a:off x="15582900" y="2146300"/>
          <a:ext cx="7366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23</xdr:col>
      <xdr:colOff>495300</xdr:colOff>
      <xdr:row>2</xdr:row>
      <xdr:rowOff>12700</xdr:rowOff>
    </xdr:from>
    <xdr:to>
      <xdr:col>23</xdr:col>
      <xdr:colOff>584200</xdr:colOff>
      <xdr:row>3</xdr:row>
      <xdr:rowOff>50800</xdr:rowOff>
    </xdr:to>
    <xdr:sp macro="" textlink="">
      <xdr:nvSpPr>
        <xdr:cNvPr id="106453" name="Text Box 122">
          <a:extLst>
            <a:ext uri="{FF2B5EF4-FFF2-40B4-BE49-F238E27FC236}">
              <a16:creationId xmlns:a16="http://schemas.microsoft.com/office/drawing/2014/main" id="{F7AF041B-D0A7-D040-B005-D9B967FA5A29}"/>
            </a:ext>
          </a:extLst>
        </xdr:cNvPr>
        <xdr:cNvSpPr txBox="1">
          <a:spLocks noChangeArrowheads="1"/>
        </xdr:cNvSpPr>
      </xdr:nvSpPr>
      <xdr:spPr bwMode="auto">
        <a:xfrm>
          <a:off x="17081500" y="406400"/>
          <a:ext cx="88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23</xdr:col>
      <xdr:colOff>212725</xdr:colOff>
      <xdr:row>22</xdr:row>
      <xdr:rowOff>123825</xdr:rowOff>
    </xdr:from>
    <xdr:ext cx="164893" cy="170560"/>
    <xdr:sp macro="" textlink="">
      <xdr:nvSpPr>
        <xdr:cNvPr id="10363" name="Text Box 123">
          <a:extLst>
            <a:ext uri="{FF2B5EF4-FFF2-40B4-BE49-F238E27FC236}">
              <a16:creationId xmlns:a16="http://schemas.microsoft.com/office/drawing/2014/main" id="{DAA7F921-7FD5-2848-917A-ED96E6815777}"/>
            </a:ext>
          </a:extLst>
        </xdr:cNvPr>
        <xdr:cNvSpPr txBox="1">
          <a:spLocks noChangeArrowheads="1"/>
        </xdr:cNvSpPr>
      </xdr:nvSpPr>
      <xdr:spPr bwMode="auto">
        <a:xfrm>
          <a:off x="15097125" y="3762375"/>
          <a:ext cx="13952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21</xdr:col>
      <xdr:colOff>79375</xdr:colOff>
      <xdr:row>12</xdr:row>
      <xdr:rowOff>28575</xdr:rowOff>
    </xdr:from>
    <xdr:ext cx="190821" cy="170560"/>
    <xdr:sp macro="" textlink="">
      <xdr:nvSpPr>
        <xdr:cNvPr id="10364" name="Text Box 124">
          <a:extLst>
            <a:ext uri="{FF2B5EF4-FFF2-40B4-BE49-F238E27FC236}">
              <a16:creationId xmlns:a16="http://schemas.microsoft.com/office/drawing/2014/main" id="{8A5A7B41-86FD-C34C-86B0-21DB1E8C77CF}"/>
            </a:ext>
          </a:extLst>
        </xdr:cNvPr>
        <xdr:cNvSpPr txBox="1">
          <a:spLocks noChangeArrowheads="1"/>
        </xdr:cNvSpPr>
      </xdr:nvSpPr>
      <xdr:spPr bwMode="auto">
        <a:xfrm>
          <a:off x="13744575" y="2047875"/>
          <a:ext cx="17889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25</xdr:col>
      <xdr:colOff>333375</xdr:colOff>
      <xdr:row>12</xdr:row>
      <xdr:rowOff>9525</xdr:rowOff>
    </xdr:from>
    <xdr:ext cx="146707" cy="170560"/>
    <xdr:sp macro="" textlink="">
      <xdr:nvSpPr>
        <xdr:cNvPr id="10365" name="Text Box 125">
          <a:extLst>
            <a:ext uri="{FF2B5EF4-FFF2-40B4-BE49-F238E27FC236}">
              <a16:creationId xmlns:a16="http://schemas.microsoft.com/office/drawing/2014/main" id="{0BCCEECF-683D-6C4D-9251-80C2F2989CD8}"/>
            </a:ext>
          </a:extLst>
        </xdr:cNvPr>
        <xdr:cNvSpPr txBox="1">
          <a:spLocks noChangeArrowheads="1"/>
        </xdr:cNvSpPr>
      </xdr:nvSpPr>
      <xdr:spPr bwMode="auto">
        <a:xfrm>
          <a:off x="16411575" y="2028825"/>
          <a:ext cx="14670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23</xdr:col>
      <xdr:colOff>206375</xdr:colOff>
      <xdr:row>12</xdr:row>
      <xdr:rowOff>0</xdr:rowOff>
    </xdr:from>
    <xdr:ext cx="178895" cy="170560"/>
    <xdr:sp macro="" textlink="">
      <xdr:nvSpPr>
        <xdr:cNvPr id="10366" name="Text Box 126">
          <a:extLst>
            <a:ext uri="{FF2B5EF4-FFF2-40B4-BE49-F238E27FC236}">
              <a16:creationId xmlns:a16="http://schemas.microsoft.com/office/drawing/2014/main" id="{2F0EA0CC-52E1-9840-9891-E52553608A8B}"/>
            </a:ext>
          </a:extLst>
        </xdr:cNvPr>
        <xdr:cNvSpPr txBox="1">
          <a:spLocks noChangeArrowheads="1"/>
        </xdr:cNvSpPr>
      </xdr:nvSpPr>
      <xdr:spPr bwMode="auto">
        <a:xfrm>
          <a:off x="15078075" y="2019300"/>
          <a:ext cx="17889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+Y</a:t>
          </a:r>
        </a:p>
      </xdr:txBody>
    </xdr:sp>
    <xdr:clientData/>
  </xdr:oneCellAnchor>
  <xdr:twoCellAnchor>
    <xdr:from>
      <xdr:col>22</xdr:col>
      <xdr:colOff>152400</xdr:colOff>
      <xdr:row>12</xdr:row>
      <xdr:rowOff>139700</xdr:rowOff>
    </xdr:from>
    <xdr:to>
      <xdr:col>23</xdr:col>
      <xdr:colOff>292100</xdr:colOff>
      <xdr:row>22</xdr:row>
      <xdr:rowOff>114300</xdr:rowOff>
    </xdr:to>
    <xdr:sp macro="" textlink="">
      <xdr:nvSpPr>
        <xdr:cNvPr id="106458" name="Line 127">
          <a:extLst>
            <a:ext uri="{FF2B5EF4-FFF2-40B4-BE49-F238E27FC236}">
              <a16:creationId xmlns:a16="http://schemas.microsoft.com/office/drawing/2014/main" id="{38C054E2-A6E6-B84D-800E-71714AFEBBE8}"/>
            </a:ext>
          </a:extLst>
        </xdr:cNvPr>
        <xdr:cNvSpPr>
          <a:spLocks noChangeShapeType="1"/>
        </xdr:cNvSpPr>
      </xdr:nvSpPr>
      <xdr:spPr bwMode="auto">
        <a:xfrm flipH="1">
          <a:off x="16065500" y="2184400"/>
          <a:ext cx="812800" cy="162560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22</xdr:col>
      <xdr:colOff>508000</xdr:colOff>
      <xdr:row>20</xdr:row>
      <xdr:rowOff>123825</xdr:rowOff>
    </xdr:from>
    <xdr:ext cx="230449" cy="170560"/>
    <xdr:sp macro="" textlink="">
      <xdr:nvSpPr>
        <xdr:cNvPr id="10368" name="Text Box 128">
          <a:extLst>
            <a:ext uri="{FF2B5EF4-FFF2-40B4-BE49-F238E27FC236}">
              <a16:creationId xmlns:a16="http://schemas.microsoft.com/office/drawing/2014/main" id="{0B051226-FD9F-4E44-B3C6-F8F8D190FC98}"/>
            </a:ext>
          </a:extLst>
        </xdr:cNvPr>
        <xdr:cNvSpPr txBox="1">
          <a:spLocks noChangeArrowheads="1"/>
        </xdr:cNvSpPr>
      </xdr:nvSpPr>
      <xdr:spPr bwMode="auto">
        <a:xfrm>
          <a:off x="16421100" y="3489325"/>
          <a:ext cx="230449"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2,3</a:t>
          </a:r>
        </a:p>
      </xdr:txBody>
    </xdr:sp>
    <xdr:clientData/>
  </xdr:oneCellAnchor>
  <xdr:twoCellAnchor>
    <xdr:from>
      <xdr:col>22</xdr:col>
      <xdr:colOff>292100</xdr:colOff>
      <xdr:row>21</xdr:row>
      <xdr:rowOff>0</xdr:rowOff>
    </xdr:from>
    <xdr:to>
      <xdr:col>22</xdr:col>
      <xdr:colOff>457200</xdr:colOff>
      <xdr:row>21</xdr:row>
      <xdr:rowOff>50800</xdr:rowOff>
    </xdr:to>
    <xdr:sp macro="" textlink="">
      <xdr:nvSpPr>
        <xdr:cNvPr id="106460" name="Line 129">
          <a:extLst>
            <a:ext uri="{FF2B5EF4-FFF2-40B4-BE49-F238E27FC236}">
              <a16:creationId xmlns:a16="http://schemas.microsoft.com/office/drawing/2014/main" id="{12DC452B-B6F4-0043-A995-DC7E79C1EE6C}"/>
            </a:ext>
          </a:extLst>
        </xdr:cNvPr>
        <xdr:cNvSpPr>
          <a:spLocks noChangeShapeType="1"/>
        </xdr:cNvSpPr>
      </xdr:nvSpPr>
      <xdr:spPr bwMode="auto">
        <a:xfrm flipH="1" flipV="1">
          <a:off x="16205200" y="3530600"/>
          <a:ext cx="165100" cy="50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152400</xdr:colOff>
      <xdr:row>21</xdr:row>
      <xdr:rowOff>50800</xdr:rowOff>
    </xdr:from>
    <xdr:to>
      <xdr:col>23</xdr:col>
      <xdr:colOff>330200</xdr:colOff>
      <xdr:row>21</xdr:row>
      <xdr:rowOff>76200</xdr:rowOff>
    </xdr:to>
    <xdr:sp macro="" textlink="">
      <xdr:nvSpPr>
        <xdr:cNvPr id="106461" name="Line 130">
          <a:extLst>
            <a:ext uri="{FF2B5EF4-FFF2-40B4-BE49-F238E27FC236}">
              <a16:creationId xmlns:a16="http://schemas.microsoft.com/office/drawing/2014/main" id="{6FEB411F-2CC1-AC42-9840-BD7BD8E40948}"/>
            </a:ext>
          </a:extLst>
        </xdr:cNvPr>
        <xdr:cNvSpPr>
          <a:spLocks noChangeShapeType="1"/>
        </xdr:cNvSpPr>
      </xdr:nvSpPr>
      <xdr:spPr bwMode="auto">
        <a:xfrm flipV="1">
          <a:off x="16738600" y="3581400"/>
          <a:ext cx="177800" cy="2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23</xdr:col>
      <xdr:colOff>9525</xdr:colOff>
      <xdr:row>23</xdr:row>
      <xdr:rowOff>104775</xdr:rowOff>
    </xdr:from>
    <xdr:ext cx="581986" cy="170560"/>
    <xdr:sp macro="" textlink="">
      <xdr:nvSpPr>
        <xdr:cNvPr id="10371" name="Text Box 131">
          <a:extLst>
            <a:ext uri="{FF2B5EF4-FFF2-40B4-BE49-F238E27FC236}">
              <a16:creationId xmlns:a16="http://schemas.microsoft.com/office/drawing/2014/main" id="{988004F0-A719-8145-AC66-23A4810FFD3A}"/>
            </a:ext>
          </a:extLst>
        </xdr:cNvPr>
        <xdr:cNvSpPr txBox="1">
          <a:spLocks noChangeArrowheads="1"/>
        </xdr:cNvSpPr>
      </xdr:nvSpPr>
      <xdr:spPr bwMode="auto">
        <a:xfrm>
          <a:off x="14906625" y="3905250"/>
          <a:ext cx="517321"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Figure</a:t>
          </a:r>
          <a:r>
            <a:rPr lang="en-US" sz="1000" b="0" i="0" strike="noStrike">
              <a:solidFill>
                <a:srgbClr val="000000"/>
              </a:solidFill>
              <a:latin typeface="Arial"/>
              <a:cs typeface="Arial"/>
            </a:rPr>
            <a:t> </a:t>
          </a:r>
          <a:r>
            <a:rPr lang="en-US" sz="1000" b="1" i="0" strike="noStrike">
              <a:solidFill>
                <a:srgbClr val="000000"/>
              </a:solidFill>
              <a:latin typeface="Arial"/>
              <a:cs typeface="Arial"/>
            </a:rPr>
            <a:t>5</a:t>
          </a:r>
        </a:p>
      </xdr:txBody>
    </xdr:sp>
    <xdr:clientData/>
  </xdr:oneCellAnchor>
  <xdr:oneCellAnchor>
    <xdr:from>
      <xdr:col>23</xdr:col>
      <xdr:colOff>625475</xdr:colOff>
      <xdr:row>20</xdr:row>
      <xdr:rowOff>38100</xdr:rowOff>
    </xdr:from>
    <xdr:ext cx="994889" cy="170560"/>
    <xdr:sp macro="" textlink="">
      <xdr:nvSpPr>
        <xdr:cNvPr id="10372" name="Text Box 132">
          <a:extLst>
            <a:ext uri="{FF2B5EF4-FFF2-40B4-BE49-F238E27FC236}">
              <a16:creationId xmlns:a16="http://schemas.microsoft.com/office/drawing/2014/main" id="{5D719CE6-CFA1-6D4E-9F31-F42E51CA0ECF}"/>
            </a:ext>
          </a:extLst>
        </xdr:cNvPr>
        <xdr:cNvSpPr txBox="1">
          <a:spLocks noChangeArrowheads="1"/>
        </xdr:cNvSpPr>
      </xdr:nvSpPr>
      <xdr:spPr bwMode="auto">
        <a:xfrm>
          <a:off x="17211675" y="3403600"/>
          <a:ext cx="994889"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Canted Turnstyle</a:t>
          </a:r>
        </a:p>
      </xdr:txBody>
    </xdr:sp>
    <xdr:clientData/>
  </xdr:oneCellAnchor>
  <xdr:oneCellAnchor>
    <xdr:from>
      <xdr:col>17</xdr:col>
      <xdr:colOff>168275</xdr:colOff>
      <xdr:row>1</xdr:row>
      <xdr:rowOff>76200</xdr:rowOff>
    </xdr:from>
    <xdr:ext cx="183979" cy="170560"/>
    <xdr:sp macro="" textlink="">
      <xdr:nvSpPr>
        <xdr:cNvPr id="10373" name="Text Box 133">
          <a:extLst>
            <a:ext uri="{FF2B5EF4-FFF2-40B4-BE49-F238E27FC236}">
              <a16:creationId xmlns:a16="http://schemas.microsoft.com/office/drawing/2014/main" id="{2B8729DE-F2A2-0E42-887D-417FBD32057E}"/>
            </a:ext>
          </a:extLst>
        </xdr:cNvPr>
        <xdr:cNvSpPr txBox="1">
          <a:spLocks noChangeArrowheads="1"/>
        </xdr:cNvSpPr>
      </xdr:nvSpPr>
      <xdr:spPr bwMode="auto">
        <a:xfrm>
          <a:off x="11353800" y="314325"/>
          <a:ext cx="171714"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23</xdr:col>
      <xdr:colOff>215900</xdr:colOff>
      <xdr:row>1</xdr:row>
      <xdr:rowOff>76200</xdr:rowOff>
    </xdr:from>
    <xdr:ext cx="171714" cy="170560"/>
    <xdr:sp macro="" textlink="">
      <xdr:nvSpPr>
        <xdr:cNvPr id="10374" name="Text Box 134">
          <a:extLst>
            <a:ext uri="{FF2B5EF4-FFF2-40B4-BE49-F238E27FC236}">
              <a16:creationId xmlns:a16="http://schemas.microsoft.com/office/drawing/2014/main" id="{1D365FDF-0DCE-644B-B88D-7FF17AF5C98B}"/>
            </a:ext>
          </a:extLst>
        </xdr:cNvPr>
        <xdr:cNvSpPr txBox="1">
          <a:spLocks noChangeArrowheads="1"/>
        </xdr:cNvSpPr>
      </xdr:nvSpPr>
      <xdr:spPr bwMode="auto">
        <a:xfrm>
          <a:off x="15087600" y="314325"/>
          <a:ext cx="171714"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twoCellAnchor>
    <xdr:from>
      <xdr:col>24</xdr:col>
      <xdr:colOff>50800</xdr:colOff>
      <xdr:row>15</xdr:row>
      <xdr:rowOff>127000</xdr:rowOff>
    </xdr:from>
    <xdr:to>
      <xdr:col>24</xdr:col>
      <xdr:colOff>558800</xdr:colOff>
      <xdr:row>19</xdr:row>
      <xdr:rowOff>76200</xdr:rowOff>
    </xdr:to>
    <xdr:sp macro="" textlink="">
      <xdr:nvSpPr>
        <xdr:cNvPr id="106466" name="Line 135">
          <a:extLst>
            <a:ext uri="{FF2B5EF4-FFF2-40B4-BE49-F238E27FC236}">
              <a16:creationId xmlns:a16="http://schemas.microsoft.com/office/drawing/2014/main" id="{5F51C7B1-7A13-1E49-80C7-E4B7C8C28B56}"/>
            </a:ext>
          </a:extLst>
        </xdr:cNvPr>
        <xdr:cNvSpPr>
          <a:spLocks noChangeShapeType="1"/>
        </xdr:cNvSpPr>
      </xdr:nvSpPr>
      <xdr:spPr bwMode="auto">
        <a:xfrm flipH="1" flipV="1">
          <a:off x="17310100" y="2667000"/>
          <a:ext cx="508000" cy="60960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355600</xdr:colOff>
      <xdr:row>10</xdr:row>
      <xdr:rowOff>12700</xdr:rowOff>
    </xdr:from>
    <xdr:to>
      <xdr:col>30</xdr:col>
      <xdr:colOff>139700</xdr:colOff>
      <xdr:row>15</xdr:row>
      <xdr:rowOff>25400</xdr:rowOff>
    </xdr:to>
    <xdr:sp macro="" textlink="">
      <xdr:nvSpPr>
        <xdr:cNvPr id="106467" name="Rectangle 136" descr="Large grid">
          <a:extLst>
            <a:ext uri="{FF2B5EF4-FFF2-40B4-BE49-F238E27FC236}">
              <a16:creationId xmlns:a16="http://schemas.microsoft.com/office/drawing/2014/main" id="{44D64AC8-5AB0-FE45-81C1-31F8F700CAA8}"/>
            </a:ext>
          </a:extLst>
        </xdr:cNvPr>
        <xdr:cNvSpPr>
          <a:spLocks noChangeArrowheads="1"/>
        </xdr:cNvSpPr>
      </xdr:nvSpPr>
      <xdr:spPr bwMode="auto">
        <a:xfrm>
          <a:off x="20307300" y="1727200"/>
          <a:ext cx="1130300" cy="838200"/>
        </a:xfrm>
        <a:prstGeom prst="rect">
          <a:avLst/>
        </a:prstGeom>
        <a:blipFill dpi="0" rotWithShape="0">
          <a:blip xmlns:r="http://schemas.openxmlformats.org/officeDocument/2006/relationships" r:embed="rId1"/>
          <a:srcRect/>
          <a:tile tx="0" ty="0" sx="100000" sy="100000" flip="none" algn="tl"/>
        </a:blipFill>
        <a:ln w="9525">
          <a:solidFill>
            <a:srgbClr val="000000"/>
          </a:solidFill>
          <a:miter lim="800000"/>
          <a:headEnd/>
          <a:tailEnd/>
        </a:ln>
      </xdr:spPr>
    </xdr:sp>
    <xdr:clientData/>
  </xdr:twoCellAnchor>
  <xdr:twoCellAnchor>
    <xdr:from>
      <xdr:col>28</xdr:col>
      <xdr:colOff>355600</xdr:colOff>
      <xdr:row>15</xdr:row>
      <xdr:rowOff>25400</xdr:rowOff>
    </xdr:from>
    <xdr:to>
      <xdr:col>30</xdr:col>
      <xdr:colOff>139700</xdr:colOff>
      <xdr:row>15</xdr:row>
      <xdr:rowOff>101600</xdr:rowOff>
    </xdr:to>
    <xdr:sp macro="" textlink="">
      <xdr:nvSpPr>
        <xdr:cNvPr id="106468" name="Rectangle 137">
          <a:extLst>
            <a:ext uri="{FF2B5EF4-FFF2-40B4-BE49-F238E27FC236}">
              <a16:creationId xmlns:a16="http://schemas.microsoft.com/office/drawing/2014/main" id="{E46B795E-0DAB-2642-AEC9-81A887642F4D}"/>
            </a:ext>
          </a:extLst>
        </xdr:cNvPr>
        <xdr:cNvSpPr>
          <a:spLocks noChangeArrowheads="1"/>
        </xdr:cNvSpPr>
      </xdr:nvSpPr>
      <xdr:spPr bwMode="auto">
        <a:xfrm>
          <a:off x="20307300" y="2565400"/>
          <a:ext cx="1130300" cy="762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28</xdr:col>
      <xdr:colOff>355600</xdr:colOff>
      <xdr:row>9</xdr:row>
      <xdr:rowOff>88900</xdr:rowOff>
    </xdr:from>
    <xdr:to>
      <xdr:col>30</xdr:col>
      <xdr:colOff>139700</xdr:colOff>
      <xdr:row>10</xdr:row>
      <xdr:rowOff>0</xdr:rowOff>
    </xdr:to>
    <xdr:sp macro="" textlink="">
      <xdr:nvSpPr>
        <xdr:cNvPr id="106469" name="Rectangle 138">
          <a:extLst>
            <a:ext uri="{FF2B5EF4-FFF2-40B4-BE49-F238E27FC236}">
              <a16:creationId xmlns:a16="http://schemas.microsoft.com/office/drawing/2014/main" id="{B9162962-A208-E847-98C3-0EC2042B692A}"/>
            </a:ext>
          </a:extLst>
        </xdr:cNvPr>
        <xdr:cNvSpPr>
          <a:spLocks noChangeArrowheads="1"/>
        </xdr:cNvSpPr>
      </xdr:nvSpPr>
      <xdr:spPr bwMode="auto">
        <a:xfrm>
          <a:off x="20307300" y="1638300"/>
          <a:ext cx="1130300" cy="762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29</xdr:col>
      <xdr:colOff>266700</xdr:colOff>
      <xdr:row>7</xdr:row>
      <xdr:rowOff>25400</xdr:rowOff>
    </xdr:from>
    <xdr:to>
      <xdr:col>29</xdr:col>
      <xdr:colOff>266700</xdr:colOff>
      <xdr:row>9</xdr:row>
      <xdr:rowOff>88900</xdr:rowOff>
    </xdr:to>
    <xdr:sp macro="" textlink="">
      <xdr:nvSpPr>
        <xdr:cNvPr id="106470" name="Line 139">
          <a:extLst>
            <a:ext uri="{FF2B5EF4-FFF2-40B4-BE49-F238E27FC236}">
              <a16:creationId xmlns:a16="http://schemas.microsoft.com/office/drawing/2014/main" id="{4F25FE72-77B3-BC40-8E04-EB4F53711755}"/>
            </a:ext>
          </a:extLst>
        </xdr:cNvPr>
        <xdr:cNvSpPr>
          <a:spLocks noChangeShapeType="1"/>
        </xdr:cNvSpPr>
      </xdr:nvSpPr>
      <xdr:spPr bwMode="auto">
        <a:xfrm flipV="1">
          <a:off x="20891500" y="1244600"/>
          <a:ext cx="0" cy="39370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254000</xdr:colOff>
      <xdr:row>2</xdr:row>
      <xdr:rowOff>63500</xdr:rowOff>
    </xdr:from>
    <xdr:to>
      <xdr:col>29</xdr:col>
      <xdr:colOff>254000</xdr:colOff>
      <xdr:row>5</xdr:row>
      <xdr:rowOff>0</xdr:rowOff>
    </xdr:to>
    <xdr:sp macro="" textlink="">
      <xdr:nvSpPr>
        <xdr:cNvPr id="106471" name="Line 140">
          <a:extLst>
            <a:ext uri="{FF2B5EF4-FFF2-40B4-BE49-F238E27FC236}">
              <a16:creationId xmlns:a16="http://schemas.microsoft.com/office/drawing/2014/main" id="{5BE8813F-EBA9-F946-B25B-8E1A004F626A}"/>
            </a:ext>
          </a:extLst>
        </xdr:cNvPr>
        <xdr:cNvSpPr>
          <a:spLocks noChangeShapeType="1"/>
        </xdr:cNvSpPr>
      </xdr:nvSpPr>
      <xdr:spPr bwMode="auto">
        <a:xfrm flipV="1">
          <a:off x="20878800" y="457200"/>
          <a:ext cx="0" cy="4318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241300</xdr:colOff>
      <xdr:row>15</xdr:row>
      <xdr:rowOff>101600</xdr:rowOff>
    </xdr:from>
    <xdr:to>
      <xdr:col>29</xdr:col>
      <xdr:colOff>241300</xdr:colOff>
      <xdr:row>22</xdr:row>
      <xdr:rowOff>63500</xdr:rowOff>
    </xdr:to>
    <xdr:sp macro="" textlink="">
      <xdr:nvSpPr>
        <xdr:cNvPr id="106472" name="Line 141">
          <a:extLst>
            <a:ext uri="{FF2B5EF4-FFF2-40B4-BE49-F238E27FC236}">
              <a16:creationId xmlns:a16="http://schemas.microsoft.com/office/drawing/2014/main" id="{A97DED0A-EA9F-534D-A356-7AFC0562FEFA}"/>
            </a:ext>
          </a:extLst>
        </xdr:cNvPr>
        <xdr:cNvSpPr>
          <a:spLocks noChangeShapeType="1"/>
        </xdr:cNvSpPr>
      </xdr:nvSpPr>
      <xdr:spPr bwMode="auto">
        <a:xfrm flipV="1">
          <a:off x="20866100" y="2641600"/>
          <a:ext cx="0" cy="11176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177800</xdr:colOff>
      <xdr:row>12</xdr:row>
      <xdr:rowOff>88900</xdr:rowOff>
    </xdr:from>
    <xdr:to>
      <xdr:col>31</xdr:col>
      <xdr:colOff>241300</xdr:colOff>
      <xdr:row>12</xdr:row>
      <xdr:rowOff>88900</xdr:rowOff>
    </xdr:to>
    <xdr:sp macro="" textlink="">
      <xdr:nvSpPr>
        <xdr:cNvPr id="106473" name="Line 142">
          <a:extLst>
            <a:ext uri="{FF2B5EF4-FFF2-40B4-BE49-F238E27FC236}">
              <a16:creationId xmlns:a16="http://schemas.microsoft.com/office/drawing/2014/main" id="{0D41280F-B797-E24D-84F1-97651C26BF47}"/>
            </a:ext>
          </a:extLst>
        </xdr:cNvPr>
        <xdr:cNvSpPr>
          <a:spLocks noChangeShapeType="1"/>
        </xdr:cNvSpPr>
      </xdr:nvSpPr>
      <xdr:spPr bwMode="auto">
        <a:xfrm>
          <a:off x="21475700" y="2133600"/>
          <a:ext cx="7366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279400</xdr:colOff>
      <xdr:row>12</xdr:row>
      <xdr:rowOff>88900</xdr:rowOff>
    </xdr:from>
    <xdr:to>
      <xdr:col>28</xdr:col>
      <xdr:colOff>342900</xdr:colOff>
      <xdr:row>12</xdr:row>
      <xdr:rowOff>88900</xdr:rowOff>
    </xdr:to>
    <xdr:sp macro="" textlink="">
      <xdr:nvSpPr>
        <xdr:cNvPr id="106474" name="Line 143">
          <a:extLst>
            <a:ext uri="{FF2B5EF4-FFF2-40B4-BE49-F238E27FC236}">
              <a16:creationId xmlns:a16="http://schemas.microsoft.com/office/drawing/2014/main" id="{5D5228B3-A721-3847-AD7F-6613E5992DB5}"/>
            </a:ext>
          </a:extLst>
        </xdr:cNvPr>
        <xdr:cNvSpPr>
          <a:spLocks noChangeShapeType="1"/>
        </xdr:cNvSpPr>
      </xdr:nvSpPr>
      <xdr:spPr bwMode="auto">
        <a:xfrm>
          <a:off x="19558000" y="2133600"/>
          <a:ext cx="7366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29</xdr:col>
      <xdr:colOff>406400</xdr:colOff>
      <xdr:row>1</xdr:row>
      <xdr:rowOff>152400</xdr:rowOff>
    </xdr:from>
    <xdr:to>
      <xdr:col>29</xdr:col>
      <xdr:colOff>495300</xdr:colOff>
      <xdr:row>3</xdr:row>
      <xdr:rowOff>25400</xdr:rowOff>
    </xdr:to>
    <xdr:sp macro="" textlink="">
      <xdr:nvSpPr>
        <xdr:cNvPr id="106475" name="Text Box 144">
          <a:extLst>
            <a:ext uri="{FF2B5EF4-FFF2-40B4-BE49-F238E27FC236}">
              <a16:creationId xmlns:a16="http://schemas.microsoft.com/office/drawing/2014/main" id="{7BF870F6-3DE5-234B-8DCE-AA13A98610B6}"/>
            </a:ext>
          </a:extLst>
        </xdr:cNvPr>
        <xdr:cNvSpPr txBox="1">
          <a:spLocks noChangeArrowheads="1"/>
        </xdr:cNvSpPr>
      </xdr:nvSpPr>
      <xdr:spPr bwMode="auto">
        <a:xfrm>
          <a:off x="21031200" y="393700"/>
          <a:ext cx="88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29</xdr:col>
      <xdr:colOff>136525</xdr:colOff>
      <xdr:row>1</xdr:row>
      <xdr:rowOff>0</xdr:rowOff>
    </xdr:from>
    <xdr:ext cx="198132" cy="170560"/>
    <xdr:sp macro="" textlink="">
      <xdr:nvSpPr>
        <xdr:cNvPr id="10385" name="Text Box 145">
          <a:extLst>
            <a:ext uri="{FF2B5EF4-FFF2-40B4-BE49-F238E27FC236}">
              <a16:creationId xmlns:a16="http://schemas.microsoft.com/office/drawing/2014/main" id="{39207C9F-6B3C-3F48-877C-5B30EE55159F}"/>
            </a:ext>
          </a:extLst>
        </xdr:cNvPr>
        <xdr:cNvSpPr txBox="1">
          <a:spLocks noChangeArrowheads="1"/>
        </xdr:cNvSpPr>
      </xdr:nvSpPr>
      <xdr:spPr bwMode="auto">
        <a:xfrm>
          <a:off x="18678525" y="238125"/>
          <a:ext cx="171714"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29</xdr:col>
      <xdr:colOff>155575</xdr:colOff>
      <xdr:row>22</xdr:row>
      <xdr:rowOff>104775</xdr:rowOff>
    </xdr:from>
    <xdr:ext cx="151152" cy="170560"/>
    <xdr:sp macro="" textlink="">
      <xdr:nvSpPr>
        <xdr:cNvPr id="10386" name="Text Box 146">
          <a:extLst>
            <a:ext uri="{FF2B5EF4-FFF2-40B4-BE49-F238E27FC236}">
              <a16:creationId xmlns:a16="http://schemas.microsoft.com/office/drawing/2014/main" id="{C89D3FA8-8CA7-8448-9BA2-D201CE4CC547}"/>
            </a:ext>
          </a:extLst>
        </xdr:cNvPr>
        <xdr:cNvSpPr txBox="1">
          <a:spLocks noChangeArrowheads="1"/>
        </xdr:cNvSpPr>
      </xdr:nvSpPr>
      <xdr:spPr bwMode="auto">
        <a:xfrm>
          <a:off x="18697575" y="3743325"/>
          <a:ext cx="13952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26</xdr:col>
      <xdr:colOff>663575</xdr:colOff>
      <xdr:row>12</xdr:row>
      <xdr:rowOff>0</xdr:rowOff>
    </xdr:from>
    <xdr:ext cx="178896" cy="170560"/>
    <xdr:sp macro="" textlink="">
      <xdr:nvSpPr>
        <xdr:cNvPr id="10387" name="Text Box 147">
          <a:extLst>
            <a:ext uri="{FF2B5EF4-FFF2-40B4-BE49-F238E27FC236}">
              <a16:creationId xmlns:a16="http://schemas.microsoft.com/office/drawing/2014/main" id="{A3E9C8D8-A271-D34A-BC18-7801037C534F}"/>
            </a:ext>
          </a:extLst>
        </xdr:cNvPr>
        <xdr:cNvSpPr txBox="1">
          <a:spLocks noChangeArrowheads="1"/>
        </xdr:cNvSpPr>
      </xdr:nvSpPr>
      <xdr:spPr bwMode="auto">
        <a:xfrm>
          <a:off x="19269075" y="2044700"/>
          <a:ext cx="178896"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31</xdr:col>
      <xdr:colOff>254000</xdr:colOff>
      <xdr:row>11</xdr:row>
      <xdr:rowOff>152400</xdr:rowOff>
    </xdr:from>
    <xdr:ext cx="160044" cy="170560"/>
    <xdr:sp macro="" textlink="">
      <xdr:nvSpPr>
        <xdr:cNvPr id="10388" name="Text Box 148">
          <a:extLst>
            <a:ext uri="{FF2B5EF4-FFF2-40B4-BE49-F238E27FC236}">
              <a16:creationId xmlns:a16="http://schemas.microsoft.com/office/drawing/2014/main" id="{5385C1F3-B178-9C49-98E0-A8BED33D7703}"/>
            </a:ext>
          </a:extLst>
        </xdr:cNvPr>
        <xdr:cNvSpPr txBox="1">
          <a:spLocks noChangeArrowheads="1"/>
        </xdr:cNvSpPr>
      </xdr:nvSpPr>
      <xdr:spPr bwMode="auto">
        <a:xfrm>
          <a:off x="20002500" y="2009775"/>
          <a:ext cx="14670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29</xdr:col>
      <xdr:colOff>117475</xdr:colOff>
      <xdr:row>11</xdr:row>
      <xdr:rowOff>142875</xdr:rowOff>
    </xdr:from>
    <xdr:ext cx="190821" cy="170560"/>
    <xdr:sp macro="" textlink="">
      <xdr:nvSpPr>
        <xdr:cNvPr id="10389" name="Text Box 149">
          <a:extLst>
            <a:ext uri="{FF2B5EF4-FFF2-40B4-BE49-F238E27FC236}">
              <a16:creationId xmlns:a16="http://schemas.microsoft.com/office/drawing/2014/main" id="{28F595C3-3569-BF41-91C1-D388C9918DAB}"/>
            </a:ext>
          </a:extLst>
        </xdr:cNvPr>
        <xdr:cNvSpPr txBox="1">
          <a:spLocks noChangeArrowheads="1"/>
        </xdr:cNvSpPr>
      </xdr:nvSpPr>
      <xdr:spPr bwMode="auto">
        <a:xfrm>
          <a:off x="18659475" y="2000250"/>
          <a:ext cx="17889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+Y</a:t>
          </a:r>
        </a:p>
      </xdr:txBody>
    </xdr:sp>
    <xdr:clientData/>
  </xdr:oneCellAnchor>
  <xdr:twoCellAnchor>
    <xdr:from>
      <xdr:col>27</xdr:col>
      <xdr:colOff>381000</xdr:colOff>
      <xdr:row>1</xdr:row>
      <xdr:rowOff>101600</xdr:rowOff>
    </xdr:from>
    <xdr:to>
      <xdr:col>29</xdr:col>
      <xdr:colOff>215900</xdr:colOff>
      <xdr:row>9</xdr:row>
      <xdr:rowOff>88900</xdr:rowOff>
    </xdr:to>
    <xdr:sp macro="" textlink="">
      <xdr:nvSpPr>
        <xdr:cNvPr id="106481" name="Line 150">
          <a:extLst>
            <a:ext uri="{FF2B5EF4-FFF2-40B4-BE49-F238E27FC236}">
              <a16:creationId xmlns:a16="http://schemas.microsoft.com/office/drawing/2014/main" id="{1D535046-416B-CD44-A2AA-B3C36710C5F9}"/>
            </a:ext>
          </a:extLst>
        </xdr:cNvPr>
        <xdr:cNvSpPr>
          <a:spLocks noChangeShapeType="1"/>
        </xdr:cNvSpPr>
      </xdr:nvSpPr>
      <xdr:spPr bwMode="auto">
        <a:xfrm flipH="1" flipV="1">
          <a:off x="19659600" y="342900"/>
          <a:ext cx="1181100" cy="129540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28</xdr:col>
      <xdr:colOff>371475</xdr:colOff>
      <xdr:row>2</xdr:row>
      <xdr:rowOff>142875</xdr:rowOff>
    </xdr:from>
    <xdr:ext cx="256053" cy="170560"/>
    <xdr:sp macro="" textlink="">
      <xdr:nvSpPr>
        <xdr:cNvPr id="10391" name="Text Box 151">
          <a:extLst>
            <a:ext uri="{FF2B5EF4-FFF2-40B4-BE49-F238E27FC236}">
              <a16:creationId xmlns:a16="http://schemas.microsoft.com/office/drawing/2014/main" id="{AF418B15-EB58-5B45-9731-2F290A91A215}"/>
            </a:ext>
          </a:extLst>
        </xdr:cNvPr>
        <xdr:cNvSpPr txBox="1">
          <a:spLocks noChangeArrowheads="1"/>
        </xdr:cNvSpPr>
      </xdr:nvSpPr>
      <xdr:spPr bwMode="auto">
        <a:xfrm>
          <a:off x="18278475" y="542925"/>
          <a:ext cx="230448"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2,3</a:t>
          </a:r>
        </a:p>
      </xdr:txBody>
    </xdr:sp>
    <xdr:clientData/>
  </xdr:oneCellAnchor>
  <xdr:twoCellAnchor>
    <xdr:from>
      <xdr:col>28</xdr:col>
      <xdr:colOff>177800</xdr:colOff>
      <xdr:row>4</xdr:row>
      <xdr:rowOff>0</xdr:rowOff>
    </xdr:from>
    <xdr:to>
      <xdr:col>28</xdr:col>
      <xdr:colOff>330200</xdr:colOff>
      <xdr:row>4</xdr:row>
      <xdr:rowOff>101600</xdr:rowOff>
    </xdr:to>
    <xdr:sp macro="" textlink="">
      <xdr:nvSpPr>
        <xdr:cNvPr id="106483" name="Line 152">
          <a:extLst>
            <a:ext uri="{FF2B5EF4-FFF2-40B4-BE49-F238E27FC236}">
              <a16:creationId xmlns:a16="http://schemas.microsoft.com/office/drawing/2014/main" id="{8C2D16A4-5D79-9C4A-BC59-E9BAC6ECADCB}"/>
            </a:ext>
          </a:extLst>
        </xdr:cNvPr>
        <xdr:cNvSpPr>
          <a:spLocks noChangeShapeType="1"/>
        </xdr:cNvSpPr>
      </xdr:nvSpPr>
      <xdr:spPr bwMode="auto">
        <a:xfrm flipH="1">
          <a:off x="20129500" y="723900"/>
          <a:ext cx="152400" cy="101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38100</xdr:colOff>
      <xdr:row>3</xdr:row>
      <xdr:rowOff>50800</xdr:rowOff>
    </xdr:from>
    <xdr:to>
      <xdr:col>29</xdr:col>
      <xdr:colOff>228600</xdr:colOff>
      <xdr:row>3</xdr:row>
      <xdr:rowOff>63500</xdr:rowOff>
    </xdr:to>
    <xdr:sp macro="" textlink="">
      <xdr:nvSpPr>
        <xdr:cNvPr id="106484" name="Line 153">
          <a:extLst>
            <a:ext uri="{FF2B5EF4-FFF2-40B4-BE49-F238E27FC236}">
              <a16:creationId xmlns:a16="http://schemas.microsoft.com/office/drawing/2014/main" id="{8F5D6F55-C0F5-1342-9502-CBD1B5A2A05E}"/>
            </a:ext>
          </a:extLst>
        </xdr:cNvPr>
        <xdr:cNvSpPr>
          <a:spLocks noChangeShapeType="1"/>
        </xdr:cNvSpPr>
      </xdr:nvSpPr>
      <xdr:spPr bwMode="auto">
        <a:xfrm flipV="1">
          <a:off x="20662900" y="609600"/>
          <a:ext cx="19050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28</xdr:col>
      <xdr:colOff>625475</xdr:colOff>
      <xdr:row>23</xdr:row>
      <xdr:rowOff>76200</xdr:rowOff>
    </xdr:from>
    <xdr:ext cx="517322" cy="170560"/>
    <xdr:sp macro="" textlink="">
      <xdr:nvSpPr>
        <xdr:cNvPr id="10394" name="Text Box 154">
          <a:extLst>
            <a:ext uri="{FF2B5EF4-FFF2-40B4-BE49-F238E27FC236}">
              <a16:creationId xmlns:a16="http://schemas.microsoft.com/office/drawing/2014/main" id="{FEA68C54-3189-9045-A450-F2808E73B557}"/>
            </a:ext>
          </a:extLst>
        </xdr:cNvPr>
        <xdr:cNvSpPr txBox="1">
          <a:spLocks noChangeArrowheads="1"/>
        </xdr:cNvSpPr>
      </xdr:nvSpPr>
      <xdr:spPr bwMode="auto">
        <a:xfrm>
          <a:off x="20577175" y="3937000"/>
          <a:ext cx="517322"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Figure</a:t>
          </a:r>
          <a:r>
            <a:rPr lang="en-US" sz="1000" b="0" i="0" strike="noStrike">
              <a:solidFill>
                <a:srgbClr val="000000"/>
              </a:solidFill>
              <a:latin typeface="Arial"/>
              <a:cs typeface="Arial"/>
            </a:rPr>
            <a:t> </a:t>
          </a:r>
          <a:r>
            <a:rPr lang="en-US" sz="1000" b="1" i="0" strike="noStrike">
              <a:solidFill>
                <a:srgbClr val="000000"/>
              </a:solidFill>
              <a:latin typeface="Arial"/>
              <a:cs typeface="Arial"/>
            </a:rPr>
            <a:t>6</a:t>
          </a:r>
        </a:p>
      </xdr:txBody>
    </xdr:sp>
    <xdr:clientData/>
  </xdr:oneCellAnchor>
  <xdr:oneCellAnchor>
    <xdr:from>
      <xdr:col>29</xdr:col>
      <xdr:colOff>555625</xdr:colOff>
      <xdr:row>5</xdr:row>
      <xdr:rowOff>104775</xdr:rowOff>
    </xdr:from>
    <xdr:ext cx="930512" cy="318036"/>
    <xdr:sp macro="" textlink="">
      <xdr:nvSpPr>
        <xdr:cNvPr id="10395" name="Text Box 155">
          <a:extLst>
            <a:ext uri="{FF2B5EF4-FFF2-40B4-BE49-F238E27FC236}">
              <a16:creationId xmlns:a16="http://schemas.microsoft.com/office/drawing/2014/main" id="{640AB42C-E16C-9046-A7F3-8433D48D4CF8}"/>
            </a:ext>
          </a:extLst>
        </xdr:cNvPr>
        <xdr:cNvSpPr txBox="1">
          <a:spLocks noChangeArrowheads="1"/>
        </xdr:cNvSpPr>
      </xdr:nvSpPr>
      <xdr:spPr bwMode="auto">
        <a:xfrm>
          <a:off x="21180425" y="993775"/>
          <a:ext cx="930512" cy="318036"/>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Quadrifilar Helix</a:t>
          </a:r>
        </a:p>
        <a:p>
          <a:pPr algn="l" rtl="1">
            <a:defRPr sz="1000"/>
          </a:pPr>
          <a:r>
            <a:rPr lang="en-US" sz="1000" b="0" i="0" strike="noStrike">
              <a:solidFill>
                <a:srgbClr val="000000"/>
              </a:solidFill>
              <a:latin typeface="Arial"/>
              <a:cs typeface="Arial"/>
            </a:rPr>
            <a:t>(Wound RHCP)</a:t>
          </a:r>
        </a:p>
      </xdr:txBody>
    </xdr:sp>
    <xdr:clientData/>
  </xdr:oneCellAnchor>
  <xdr:twoCellAnchor>
    <xdr:from>
      <xdr:col>29</xdr:col>
      <xdr:colOff>127000</xdr:colOff>
      <xdr:row>7</xdr:row>
      <xdr:rowOff>25400</xdr:rowOff>
    </xdr:from>
    <xdr:to>
      <xdr:col>29</xdr:col>
      <xdr:colOff>393700</xdr:colOff>
      <xdr:row>7</xdr:row>
      <xdr:rowOff>25400</xdr:rowOff>
    </xdr:to>
    <xdr:sp macro="" textlink="">
      <xdr:nvSpPr>
        <xdr:cNvPr id="106487" name="Line 156">
          <a:extLst>
            <a:ext uri="{FF2B5EF4-FFF2-40B4-BE49-F238E27FC236}">
              <a16:creationId xmlns:a16="http://schemas.microsoft.com/office/drawing/2014/main" id="{194BEECD-E73A-C548-AD00-9E75FDFD2A0D}"/>
            </a:ext>
          </a:extLst>
        </xdr:cNvPr>
        <xdr:cNvSpPr>
          <a:spLocks noChangeShapeType="1"/>
        </xdr:cNvSpPr>
      </xdr:nvSpPr>
      <xdr:spPr bwMode="auto">
        <a:xfrm>
          <a:off x="20751800" y="1244600"/>
          <a:ext cx="2667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114300</xdr:colOff>
      <xdr:row>8</xdr:row>
      <xdr:rowOff>127000</xdr:rowOff>
    </xdr:from>
    <xdr:to>
      <xdr:col>29</xdr:col>
      <xdr:colOff>393700</xdr:colOff>
      <xdr:row>8</xdr:row>
      <xdr:rowOff>127000</xdr:rowOff>
    </xdr:to>
    <xdr:sp macro="" textlink="">
      <xdr:nvSpPr>
        <xdr:cNvPr id="106488" name="Line 157">
          <a:extLst>
            <a:ext uri="{FF2B5EF4-FFF2-40B4-BE49-F238E27FC236}">
              <a16:creationId xmlns:a16="http://schemas.microsoft.com/office/drawing/2014/main" id="{B6FA2F9A-11DF-C740-9CC6-2074A982C909}"/>
            </a:ext>
          </a:extLst>
        </xdr:cNvPr>
        <xdr:cNvSpPr>
          <a:spLocks noChangeShapeType="1"/>
        </xdr:cNvSpPr>
      </xdr:nvSpPr>
      <xdr:spPr bwMode="auto">
        <a:xfrm>
          <a:off x="20739100" y="1511300"/>
          <a:ext cx="2794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114300</xdr:colOff>
      <xdr:row>7</xdr:row>
      <xdr:rowOff>25400</xdr:rowOff>
    </xdr:from>
    <xdr:to>
      <xdr:col>29</xdr:col>
      <xdr:colOff>406400</xdr:colOff>
      <xdr:row>8</xdr:row>
      <xdr:rowOff>127000</xdr:rowOff>
    </xdr:to>
    <xdr:sp macro="" textlink="">
      <xdr:nvSpPr>
        <xdr:cNvPr id="106489" name="Freeform 158">
          <a:extLst>
            <a:ext uri="{FF2B5EF4-FFF2-40B4-BE49-F238E27FC236}">
              <a16:creationId xmlns:a16="http://schemas.microsoft.com/office/drawing/2014/main" id="{F4A0F2A8-F2C3-AC4A-84CB-2909576C6743}"/>
            </a:ext>
          </a:extLst>
        </xdr:cNvPr>
        <xdr:cNvSpPr>
          <a:spLocks/>
        </xdr:cNvSpPr>
      </xdr:nvSpPr>
      <xdr:spPr bwMode="auto">
        <a:xfrm>
          <a:off x="20739100" y="1244600"/>
          <a:ext cx="292100" cy="266700"/>
        </a:xfrm>
        <a:custGeom>
          <a:avLst/>
          <a:gdLst>
            <a:gd name="T0" fmla="*/ 2147483647 w 28"/>
            <a:gd name="T1" fmla="*/ 0 h 28"/>
            <a:gd name="T2" fmla="*/ 2147483647 w 28"/>
            <a:gd name="T3" fmla="*/ 2147483647 h 28"/>
            <a:gd name="T4" fmla="*/ 2147483647 w 28"/>
            <a:gd name="T5" fmla="*/ 2147483647 h 28"/>
            <a:gd name="T6" fmla="*/ 2147483647 w 28"/>
            <a:gd name="T7" fmla="*/ 2147483647 h 28"/>
            <a:gd name="T8" fmla="*/ 2147483647 w 28"/>
            <a:gd name="T9" fmla="*/ 2147483647 h 28"/>
            <a:gd name="T10" fmla="*/ 0 w 28"/>
            <a:gd name="T11" fmla="*/ 2147483647 h 28"/>
            <a:gd name="T12" fmla="*/ 0 60000 65536"/>
            <a:gd name="T13" fmla="*/ 0 60000 65536"/>
            <a:gd name="T14" fmla="*/ 0 60000 65536"/>
            <a:gd name="T15" fmla="*/ 0 60000 65536"/>
            <a:gd name="T16" fmla="*/ 0 60000 65536"/>
            <a:gd name="T17" fmla="*/ 0 60000 65536"/>
            <a:gd name="T18" fmla="*/ 0 w 28"/>
            <a:gd name="T19" fmla="*/ 0 h 28"/>
            <a:gd name="T20" fmla="*/ 28 w 28"/>
            <a:gd name="T21" fmla="*/ 28 h 28"/>
          </a:gdLst>
          <a:ahLst/>
          <a:cxnLst>
            <a:cxn ang="T12">
              <a:pos x="T0" y="T1"/>
            </a:cxn>
            <a:cxn ang="T13">
              <a:pos x="T2" y="T3"/>
            </a:cxn>
            <a:cxn ang="T14">
              <a:pos x="T4" y="T5"/>
            </a:cxn>
            <a:cxn ang="T15">
              <a:pos x="T6" y="T7"/>
            </a:cxn>
            <a:cxn ang="T16">
              <a:pos x="T8" y="T9"/>
            </a:cxn>
            <a:cxn ang="T17">
              <a:pos x="T10" y="T11"/>
            </a:cxn>
          </a:cxnLst>
          <a:rect l="T18" t="T19" r="T20" b="T21"/>
          <a:pathLst>
            <a:path w="28" h="28">
              <a:moveTo>
                <a:pt x="26" y="0"/>
              </a:moveTo>
              <a:cubicBezTo>
                <a:pt x="27" y="2"/>
                <a:pt x="28" y="5"/>
                <a:pt x="27" y="7"/>
              </a:cubicBezTo>
              <a:cubicBezTo>
                <a:pt x="26" y="9"/>
                <a:pt x="24" y="11"/>
                <a:pt x="22" y="12"/>
              </a:cubicBezTo>
              <a:cubicBezTo>
                <a:pt x="20" y="13"/>
                <a:pt x="17" y="14"/>
                <a:pt x="14" y="15"/>
              </a:cubicBezTo>
              <a:cubicBezTo>
                <a:pt x="11" y="16"/>
                <a:pt x="4" y="18"/>
                <a:pt x="2" y="20"/>
              </a:cubicBezTo>
              <a:cubicBezTo>
                <a:pt x="0" y="22"/>
                <a:pt x="0" y="25"/>
                <a:pt x="0" y="2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114300</xdr:colOff>
      <xdr:row>7</xdr:row>
      <xdr:rowOff>25400</xdr:rowOff>
    </xdr:from>
    <xdr:to>
      <xdr:col>29</xdr:col>
      <xdr:colOff>406400</xdr:colOff>
      <xdr:row>8</xdr:row>
      <xdr:rowOff>127000</xdr:rowOff>
    </xdr:to>
    <xdr:sp macro="" textlink="">
      <xdr:nvSpPr>
        <xdr:cNvPr id="106490" name="Freeform 159">
          <a:extLst>
            <a:ext uri="{FF2B5EF4-FFF2-40B4-BE49-F238E27FC236}">
              <a16:creationId xmlns:a16="http://schemas.microsoft.com/office/drawing/2014/main" id="{84CB6159-B7C2-2F43-86FE-B32E7A32191E}"/>
            </a:ext>
          </a:extLst>
        </xdr:cNvPr>
        <xdr:cNvSpPr>
          <a:spLocks/>
        </xdr:cNvSpPr>
      </xdr:nvSpPr>
      <xdr:spPr bwMode="auto">
        <a:xfrm flipH="1">
          <a:off x="20739100" y="1244600"/>
          <a:ext cx="292100" cy="266700"/>
        </a:xfrm>
        <a:custGeom>
          <a:avLst/>
          <a:gdLst>
            <a:gd name="T0" fmla="*/ 2147483647 w 28"/>
            <a:gd name="T1" fmla="*/ 0 h 28"/>
            <a:gd name="T2" fmla="*/ 2147483647 w 28"/>
            <a:gd name="T3" fmla="*/ 2147483647 h 28"/>
            <a:gd name="T4" fmla="*/ 2147483647 w 28"/>
            <a:gd name="T5" fmla="*/ 2147483647 h 28"/>
            <a:gd name="T6" fmla="*/ 2147483647 w 28"/>
            <a:gd name="T7" fmla="*/ 2147483647 h 28"/>
            <a:gd name="T8" fmla="*/ 2147483647 w 28"/>
            <a:gd name="T9" fmla="*/ 2147483647 h 28"/>
            <a:gd name="T10" fmla="*/ 0 w 28"/>
            <a:gd name="T11" fmla="*/ 2147483647 h 28"/>
            <a:gd name="T12" fmla="*/ 0 60000 65536"/>
            <a:gd name="T13" fmla="*/ 0 60000 65536"/>
            <a:gd name="T14" fmla="*/ 0 60000 65536"/>
            <a:gd name="T15" fmla="*/ 0 60000 65536"/>
            <a:gd name="T16" fmla="*/ 0 60000 65536"/>
            <a:gd name="T17" fmla="*/ 0 60000 65536"/>
            <a:gd name="T18" fmla="*/ 0 w 28"/>
            <a:gd name="T19" fmla="*/ 0 h 28"/>
            <a:gd name="T20" fmla="*/ 28 w 28"/>
            <a:gd name="T21" fmla="*/ 28 h 28"/>
          </a:gdLst>
          <a:ahLst/>
          <a:cxnLst>
            <a:cxn ang="T12">
              <a:pos x="T0" y="T1"/>
            </a:cxn>
            <a:cxn ang="T13">
              <a:pos x="T2" y="T3"/>
            </a:cxn>
            <a:cxn ang="T14">
              <a:pos x="T4" y="T5"/>
            </a:cxn>
            <a:cxn ang="T15">
              <a:pos x="T6" y="T7"/>
            </a:cxn>
            <a:cxn ang="T16">
              <a:pos x="T8" y="T9"/>
            </a:cxn>
            <a:cxn ang="T17">
              <a:pos x="T10" y="T11"/>
            </a:cxn>
          </a:cxnLst>
          <a:rect l="T18" t="T19" r="T20" b="T21"/>
          <a:pathLst>
            <a:path w="28" h="28">
              <a:moveTo>
                <a:pt x="26" y="0"/>
              </a:moveTo>
              <a:cubicBezTo>
                <a:pt x="27" y="2"/>
                <a:pt x="28" y="5"/>
                <a:pt x="27" y="7"/>
              </a:cubicBezTo>
              <a:cubicBezTo>
                <a:pt x="26" y="9"/>
                <a:pt x="24" y="11"/>
                <a:pt x="22" y="12"/>
              </a:cubicBezTo>
              <a:cubicBezTo>
                <a:pt x="20" y="13"/>
                <a:pt x="17" y="14"/>
                <a:pt x="14" y="15"/>
              </a:cubicBezTo>
              <a:cubicBezTo>
                <a:pt x="11" y="16"/>
                <a:pt x="4" y="18"/>
                <a:pt x="2" y="20"/>
              </a:cubicBezTo>
              <a:cubicBezTo>
                <a:pt x="0" y="22"/>
                <a:pt x="0" y="25"/>
                <a:pt x="0" y="2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584200</xdr:colOff>
      <xdr:row>10</xdr:row>
      <xdr:rowOff>38100</xdr:rowOff>
    </xdr:from>
    <xdr:to>
      <xdr:col>36</xdr:col>
      <xdr:colOff>355600</xdr:colOff>
      <xdr:row>15</xdr:row>
      <xdr:rowOff>63500</xdr:rowOff>
    </xdr:to>
    <xdr:sp macro="" textlink="">
      <xdr:nvSpPr>
        <xdr:cNvPr id="106491" name="Rectangle 160" descr="Large grid">
          <a:extLst>
            <a:ext uri="{FF2B5EF4-FFF2-40B4-BE49-F238E27FC236}">
              <a16:creationId xmlns:a16="http://schemas.microsoft.com/office/drawing/2014/main" id="{3F65D535-9D16-7A43-810E-41FD5D2FB44D}"/>
            </a:ext>
          </a:extLst>
        </xdr:cNvPr>
        <xdr:cNvSpPr>
          <a:spLocks noChangeArrowheads="1"/>
        </xdr:cNvSpPr>
      </xdr:nvSpPr>
      <xdr:spPr bwMode="auto">
        <a:xfrm>
          <a:off x="24574500" y="1752600"/>
          <a:ext cx="1117600" cy="850900"/>
        </a:xfrm>
        <a:prstGeom prst="rect">
          <a:avLst/>
        </a:prstGeom>
        <a:blipFill dpi="0" rotWithShape="0">
          <a:blip xmlns:r="http://schemas.openxmlformats.org/officeDocument/2006/relationships" r:embed="rId1"/>
          <a:srcRect/>
          <a:tile tx="0" ty="0" sx="100000" sy="100000" flip="none" algn="tl"/>
        </a:blipFill>
        <a:ln w="9525">
          <a:solidFill>
            <a:srgbClr val="000000"/>
          </a:solidFill>
          <a:miter lim="800000"/>
          <a:headEnd/>
          <a:tailEnd/>
        </a:ln>
      </xdr:spPr>
    </xdr:sp>
    <xdr:clientData/>
  </xdr:twoCellAnchor>
  <xdr:twoCellAnchor>
    <xdr:from>
      <xdr:col>34</xdr:col>
      <xdr:colOff>584200</xdr:colOff>
      <xdr:row>15</xdr:row>
      <xdr:rowOff>63500</xdr:rowOff>
    </xdr:from>
    <xdr:to>
      <xdr:col>36</xdr:col>
      <xdr:colOff>355600</xdr:colOff>
      <xdr:row>15</xdr:row>
      <xdr:rowOff>139700</xdr:rowOff>
    </xdr:to>
    <xdr:sp macro="" textlink="">
      <xdr:nvSpPr>
        <xdr:cNvPr id="106492" name="Rectangle 161">
          <a:extLst>
            <a:ext uri="{FF2B5EF4-FFF2-40B4-BE49-F238E27FC236}">
              <a16:creationId xmlns:a16="http://schemas.microsoft.com/office/drawing/2014/main" id="{CBC6A818-292F-0249-B56B-DF08FD232DD7}"/>
            </a:ext>
          </a:extLst>
        </xdr:cNvPr>
        <xdr:cNvSpPr>
          <a:spLocks noChangeArrowheads="1"/>
        </xdr:cNvSpPr>
      </xdr:nvSpPr>
      <xdr:spPr bwMode="auto">
        <a:xfrm>
          <a:off x="24574500" y="2603500"/>
          <a:ext cx="1117600" cy="762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34</xdr:col>
      <xdr:colOff>584200</xdr:colOff>
      <xdr:row>9</xdr:row>
      <xdr:rowOff>114300</xdr:rowOff>
    </xdr:from>
    <xdr:to>
      <xdr:col>36</xdr:col>
      <xdr:colOff>355600</xdr:colOff>
      <xdr:row>10</xdr:row>
      <xdr:rowOff>25400</xdr:rowOff>
    </xdr:to>
    <xdr:sp macro="" textlink="">
      <xdr:nvSpPr>
        <xdr:cNvPr id="106493" name="Rectangle 162">
          <a:extLst>
            <a:ext uri="{FF2B5EF4-FFF2-40B4-BE49-F238E27FC236}">
              <a16:creationId xmlns:a16="http://schemas.microsoft.com/office/drawing/2014/main" id="{00D0ADBA-6B08-E44D-A906-B23FD92C01F0}"/>
            </a:ext>
          </a:extLst>
        </xdr:cNvPr>
        <xdr:cNvSpPr>
          <a:spLocks noChangeArrowheads="1"/>
        </xdr:cNvSpPr>
      </xdr:nvSpPr>
      <xdr:spPr bwMode="auto">
        <a:xfrm>
          <a:off x="24574500" y="1663700"/>
          <a:ext cx="1117600" cy="76200"/>
        </a:xfrm>
        <a:prstGeom prst="rect">
          <a:avLst/>
        </a:prstGeom>
        <a:gradFill rotWithShape="1">
          <a:gsLst>
            <a:gs pos="0">
              <a:srgbClr val="969696"/>
            </a:gs>
            <a:gs pos="100000">
              <a:srgbClr val="454545"/>
            </a:gs>
          </a:gsLst>
          <a:lin ang="5400000" scaled="1"/>
        </a:gradFill>
        <a:ln w="9525">
          <a:solidFill>
            <a:srgbClr val="000000"/>
          </a:solidFill>
          <a:miter lim="800000"/>
          <a:headEnd/>
          <a:tailEnd/>
        </a:ln>
      </xdr:spPr>
    </xdr:sp>
    <xdr:clientData/>
  </xdr:twoCellAnchor>
  <xdr:twoCellAnchor>
    <xdr:from>
      <xdr:col>35</xdr:col>
      <xdr:colOff>469900</xdr:colOff>
      <xdr:row>2</xdr:row>
      <xdr:rowOff>88900</xdr:rowOff>
    </xdr:from>
    <xdr:to>
      <xdr:col>35</xdr:col>
      <xdr:colOff>469900</xdr:colOff>
      <xdr:row>9</xdr:row>
      <xdr:rowOff>63500</xdr:rowOff>
    </xdr:to>
    <xdr:sp macro="" textlink="">
      <xdr:nvSpPr>
        <xdr:cNvPr id="106494" name="Line 164">
          <a:extLst>
            <a:ext uri="{FF2B5EF4-FFF2-40B4-BE49-F238E27FC236}">
              <a16:creationId xmlns:a16="http://schemas.microsoft.com/office/drawing/2014/main" id="{344C1E30-49E7-E043-846F-4FDA654BFF9C}"/>
            </a:ext>
          </a:extLst>
        </xdr:cNvPr>
        <xdr:cNvSpPr>
          <a:spLocks noChangeShapeType="1"/>
        </xdr:cNvSpPr>
      </xdr:nvSpPr>
      <xdr:spPr bwMode="auto">
        <a:xfrm flipH="1" flipV="1">
          <a:off x="25133300" y="482600"/>
          <a:ext cx="0" cy="11303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457200</xdr:colOff>
      <xdr:row>15</xdr:row>
      <xdr:rowOff>127000</xdr:rowOff>
    </xdr:from>
    <xdr:to>
      <xdr:col>35</xdr:col>
      <xdr:colOff>457200</xdr:colOff>
      <xdr:row>22</xdr:row>
      <xdr:rowOff>88900</xdr:rowOff>
    </xdr:to>
    <xdr:sp macro="" textlink="">
      <xdr:nvSpPr>
        <xdr:cNvPr id="106495" name="Line 165">
          <a:extLst>
            <a:ext uri="{FF2B5EF4-FFF2-40B4-BE49-F238E27FC236}">
              <a16:creationId xmlns:a16="http://schemas.microsoft.com/office/drawing/2014/main" id="{5DF56BFD-BFED-DB45-982A-4EF9401A8975}"/>
            </a:ext>
          </a:extLst>
        </xdr:cNvPr>
        <xdr:cNvSpPr>
          <a:spLocks noChangeShapeType="1"/>
        </xdr:cNvSpPr>
      </xdr:nvSpPr>
      <xdr:spPr bwMode="auto">
        <a:xfrm flipV="1">
          <a:off x="25120600" y="2667000"/>
          <a:ext cx="0" cy="11176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36</xdr:col>
      <xdr:colOff>393700</xdr:colOff>
      <xdr:row>12</xdr:row>
      <xdr:rowOff>114300</xdr:rowOff>
    </xdr:from>
    <xdr:to>
      <xdr:col>37</xdr:col>
      <xdr:colOff>457200</xdr:colOff>
      <xdr:row>12</xdr:row>
      <xdr:rowOff>114300</xdr:rowOff>
    </xdr:to>
    <xdr:sp macro="" textlink="">
      <xdr:nvSpPr>
        <xdr:cNvPr id="134144" name="Line 166">
          <a:extLst>
            <a:ext uri="{FF2B5EF4-FFF2-40B4-BE49-F238E27FC236}">
              <a16:creationId xmlns:a16="http://schemas.microsoft.com/office/drawing/2014/main" id="{6274D021-055A-FB48-B4FC-44834070B7A6}"/>
            </a:ext>
          </a:extLst>
        </xdr:cNvPr>
        <xdr:cNvSpPr>
          <a:spLocks noChangeShapeType="1"/>
        </xdr:cNvSpPr>
      </xdr:nvSpPr>
      <xdr:spPr bwMode="auto">
        <a:xfrm>
          <a:off x="25730200" y="2159000"/>
          <a:ext cx="7366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495300</xdr:colOff>
      <xdr:row>12</xdr:row>
      <xdr:rowOff>114300</xdr:rowOff>
    </xdr:from>
    <xdr:to>
      <xdr:col>34</xdr:col>
      <xdr:colOff>558800</xdr:colOff>
      <xdr:row>12</xdr:row>
      <xdr:rowOff>114300</xdr:rowOff>
    </xdr:to>
    <xdr:sp macro="" textlink="">
      <xdr:nvSpPr>
        <xdr:cNvPr id="134145" name="Line 167">
          <a:extLst>
            <a:ext uri="{FF2B5EF4-FFF2-40B4-BE49-F238E27FC236}">
              <a16:creationId xmlns:a16="http://schemas.microsoft.com/office/drawing/2014/main" id="{FD53562C-2FAE-BB44-990C-52FDCAF7F482}"/>
            </a:ext>
          </a:extLst>
        </xdr:cNvPr>
        <xdr:cNvSpPr>
          <a:spLocks noChangeShapeType="1"/>
        </xdr:cNvSpPr>
      </xdr:nvSpPr>
      <xdr:spPr bwMode="auto">
        <a:xfrm>
          <a:off x="23812500" y="2159000"/>
          <a:ext cx="7366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35</xdr:col>
      <xdr:colOff>635000</xdr:colOff>
      <xdr:row>2</xdr:row>
      <xdr:rowOff>25400</xdr:rowOff>
    </xdr:from>
    <xdr:to>
      <xdr:col>36</xdr:col>
      <xdr:colOff>38100</xdr:colOff>
      <xdr:row>3</xdr:row>
      <xdr:rowOff>63500</xdr:rowOff>
    </xdr:to>
    <xdr:sp macro="" textlink="">
      <xdr:nvSpPr>
        <xdr:cNvPr id="134146" name="Text Box 168">
          <a:extLst>
            <a:ext uri="{FF2B5EF4-FFF2-40B4-BE49-F238E27FC236}">
              <a16:creationId xmlns:a16="http://schemas.microsoft.com/office/drawing/2014/main" id="{D12BCD84-6925-A64A-BB12-77CD3297AB6F}"/>
            </a:ext>
          </a:extLst>
        </xdr:cNvPr>
        <xdr:cNvSpPr txBox="1">
          <a:spLocks noChangeArrowheads="1"/>
        </xdr:cNvSpPr>
      </xdr:nvSpPr>
      <xdr:spPr bwMode="auto">
        <a:xfrm>
          <a:off x="25298400" y="41910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371475</xdr:colOff>
      <xdr:row>1</xdr:row>
      <xdr:rowOff>28575</xdr:rowOff>
    </xdr:from>
    <xdr:ext cx="183979" cy="170560"/>
    <xdr:sp macro="" textlink="">
      <xdr:nvSpPr>
        <xdr:cNvPr id="10409" name="Text Box 169">
          <a:extLst>
            <a:ext uri="{FF2B5EF4-FFF2-40B4-BE49-F238E27FC236}">
              <a16:creationId xmlns:a16="http://schemas.microsoft.com/office/drawing/2014/main" id="{49206F2A-B272-AB46-A3C3-5C52B1BC0AAF}"/>
            </a:ext>
          </a:extLst>
        </xdr:cNvPr>
        <xdr:cNvSpPr txBox="1">
          <a:spLocks noChangeArrowheads="1"/>
        </xdr:cNvSpPr>
      </xdr:nvSpPr>
      <xdr:spPr bwMode="auto">
        <a:xfrm>
          <a:off x="22545675" y="266700"/>
          <a:ext cx="171714"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35</xdr:col>
      <xdr:colOff>371475</xdr:colOff>
      <xdr:row>22</xdr:row>
      <xdr:rowOff>123825</xdr:rowOff>
    </xdr:from>
    <xdr:ext cx="139525" cy="170560"/>
    <xdr:sp macro="" textlink="">
      <xdr:nvSpPr>
        <xdr:cNvPr id="10410" name="Text Box 170">
          <a:extLst>
            <a:ext uri="{FF2B5EF4-FFF2-40B4-BE49-F238E27FC236}">
              <a16:creationId xmlns:a16="http://schemas.microsoft.com/office/drawing/2014/main" id="{51835D61-00C3-5C48-94CA-49768BBE0AD8}"/>
            </a:ext>
          </a:extLst>
        </xdr:cNvPr>
        <xdr:cNvSpPr txBox="1">
          <a:spLocks noChangeArrowheads="1"/>
        </xdr:cNvSpPr>
      </xdr:nvSpPr>
      <xdr:spPr bwMode="auto">
        <a:xfrm>
          <a:off x="22545675" y="3762375"/>
          <a:ext cx="13952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-Z</a:t>
          </a:r>
        </a:p>
      </xdr:txBody>
    </xdr:sp>
    <xdr:clientData/>
  </xdr:oneCellAnchor>
  <xdr:oneCellAnchor>
    <xdr:from>
      <xdr:col>33</xdr:col>
      <xdr:colOff>215900</xdr:colOff>
      <xdr:row>12</xdr:row>
      <xdr:rowOff>28575</xdr:rowOff>
    </xdr:from>
    <xdr:ext cx="191673" cy="170560"/>
    <xdr:sp macro="" textlink="">
      <xdr:nvSpPr>
        <xdr:cNvPr id="10411" name="Text Box 171">
          <a:extLst>
            <a:ext uri="{FF2B5EF4-FFF2-40B4-BE49-F238E27FC236}">
              <a16:creationId xmlns:a16="http://schemas.microsoft.com/office/drawing/2014/main" id="{D4024BE0-95D0-2042-A0EA-B612B26A70D7}"/>
            </a:ext>
          </a:extLst>
        </xdr:cNvPr>
        <xdr:cNvSpPr txBox="1">
          <a:spLocks noChangeArrowheads="1"/>
        </xdr:cNvSpPr>
      </xdr:nvSpPr>
      <xdr:spPr bwMode="auto">
        <a:xfrm>
          <a:off x="21183600" y="2047875"/>
          <a:ext cx="17889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37</xdr:col>
      <xdr:colOff>466725</xdr:colOff>
      <xdr:row>12</xdr:row>
      <xdr:rowOff>28575</xdr:rowOff>
    </xdr:from>
    <xdr:ext cx="173381" cy="170560"/>
    <xdr:sp macro="" textlink="">
      <xdr:nvSpPr>
        <xdr:cNvPr id="10412" name="Text Box 172">
          <a:extLst>
            <a:ext uri="{FF2B5EF4-FFF2-40B4-BE49-F238E27FC236}">
              <a16:creationId xmlns:a16="http://schemas.microsoft.com/office/drawing/2014/main" id="{9C5396E9-F7A9-1849-8345-EE1F1D3F3306}"/>
            </a:ext>
          </a:extLst>
        </xdr:cNvPr>
        <xdr:cNvSpPr txBox="1">
          <a:spLocks noChangeArrowheads="1"/>
        </xdr:cNvSpPr>
      </xdr:nvSpPr>
      <xdr:spPr bwMode="auto">
        <a:xfrm>
          <a:off x="23860125" y="2047875"/>
          <a:ext cx="14670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-X</a:t>
          </a:r>
        </a:p>
      </xdr:txBody>
    </xdr:sp>
    <xdr:clientData/>
  </xdr:oneCellAnchor>
  <xdr:oneCellAnchor>
    <xdr:from>
      <xdr:col>35</xdr:col>
      <xdr:colOff>339725</xdr:colOff>
      <xdr:row>12</xdr:row>
      <xdr:rowOff>9525</xdr:rowOff>
    </xdr:from>
    <xdr:ext cx="204451" cy="170560"/>
    <xdr:sp macro="" textlink="">
      <xdr:nvSpPr>
        <xdr:cNvPr id="10413" name="Text Box 173">
          <a:extLst>
            <a:ext uri="{FF2B5EF4-FFF2-40B4-BE49-F238E27FC236}">
              <a16:creationId xmlns:a16="http://schemas.microsoft.com/office/drawing/2014/main" id="{41C1BEBA-B32B-DB44-81C4-48E8BD857EFF}"/>
            </a:ext>
          </a:extLst>
        </xdr:cNvPr>
        <xdr:cNvSpPr txBox="1">
          <a:spLocks noChangeArrowheads="1"/>
        </xdr:cNvSpPr>
      </xdr:nvSpPr>
      <xdr:spPr bwMode="auto">
        <a:xfrm>
          <a:off x="22526625" y="2028825"/>
          <a:ext cx="17889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+Y</a:t>
          </a:r>
        </a:p>
      </xdr:txBody>
    </xdr:sp>
    <xdr:clientData/>
  </xdr:oneCellAnchor>
  <xdr:twoCellAnchor>
    <xdr:from>
      <xdr:col>33</xdr:col>
      <xdr:colOff>596900</xdr:colOff>
      <xdr:row>1</xdr:row>
      <xdr:rowOff>127000</xdr:rowOff>
    </xdr:from>
    <xdr:to>
      <xdr:col>35</xdr:col>
      <xdr:colOff>444500</xdr:colOff>
      <xdr:row>9</xdr:row>
      <xdr:rowOff>63500</xdr:rowOff>
    </xdr:to>
    <xdr:sp macro="" textlink="">
      <xdr:nvSpPr>
        <xdr:cNvPr id="134152" name="Line 174">
          <a:extLst>
            <a:ext uri="{FF2B5EF4-FFF2-40B4-BE49-F238E27FC236}">
              <a16:creationId xmlns:a16="http://schemas.microsoft.com/office/drawing/2014/main" id="{393C866C-99CD-4742-8B99-0A6E50303ECD}"/>
            </a:ext>
          </a:extLst>
        </xdr:cNvPr>
        <xdr:cNvSpPr>
          <a:spLocks noChangeShapeType="1"/>
        </xdr:cNvSpPr>
      </xdr:nvSpPr>
      <xdr:spPr bwMode="auto">
        <a:xfrm flipH="1" flipV="1">
          <a:off x="23914100" y="368300"/>
          <a:ext cx="1193800" cy="124460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34</xdr:col>
      <xdr:colOff>587375</xdr:colOff>
      <xdr:row>3</xdr:row>
      <xdr:rowOff>38100</xdr:rowOff>
    </xdr:from>
    <xdr:ext cx="230449" cy="170560"/>
    <xdr:sp macro="" textlink="">
      <xdr:nvSpPr>
        <xdr:cNvPr id="10415" name="Text Box 175">
          <a:extLst>
            <a:ext uri="{FF2B5EF4-FFF2-40B4-BE49-F238E27FC236}">
              <a16:creationId xmlns:a16="http://schemas.microsoft.com/office/drawing/2014/main" id="{40E59CF6-A7C6-4A46-A3F5-D923EEB81B0D}"/>
            </a:ext>
          </a:extLst>
        </xdr:cNvPr>
        <xdr:cNvSpPr txBox="1">
          <a:spLocks noChangeArrowheads="1"/>
        </xdr:cNvSpPr>
      </xdr:nvSpPr>
      <xdr:spPr bwMode="auto">
        <a:xfrm>
          <a:off x="24577675" y="596900"/>
          <a:ext cx="230449"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l-GR" sz="1000" b="1" i="0" strike="noStrike">
              <a:solidFill>
                <a:srgbClr val="000000"/>
              </a:solidFill>
              <a:latin typeface="Arial"/>
              <a:cs typeface="Arial"/>
            </a:rPr>
            <a:t>θ</a:t>
          </a:r>
          <a:r>
            <a:rPr lang="el-GR" sz="800" b="1" i="0" strike="noStrike">
              <a:solidFill>
                <a:srgbClr val="000000"/>
              </a:solidFill>
              <a:latin typeface="Arial"/>
              <a:cs typeface="Arial"/>
            </a:rPr>
            <a:t>2,3</a:t>
          </a:r>
        </a:p>
      </xdr:txBody>
    </xdr:sp>
    <xdr:clientData/>
  </xdr:oneCellAnchor>
  <xdr:twoCellAnchor>
    <xdr:from>
      <xdr:col>34</xdr:col>
      <xdr:colOff>419100</xdr:colOff>
      <xdr:row>4</xdr:row>
      <xdr:rowOff>25400</xdr:rowOff>
    </xdr:from>
    <xdr:to>
      <xdr:col>34</xdr:col>
      <xdr:colOff>546100</xdr:colOff>
      <xdr:row>4</xdr:row>
      <xdr:rowOff>127000</xdr:rowOff>
    </xdr:to>
    <xdr:sp macro="" textlink="">
      <xdr:nvSpPr>
        <xdr:cNvPr id="134154" name="Line 176">
          <a:extLst>
            <a:ext uri="{FF2B5EF4-FFF2-40B4-BE49-F238E27FC236}">
              <a16:creationId xmlns:a16="http://schemas.microsoft.com/office/drawing/2014/main" id="{557CDBD3-8267-1B45-95C9-865A1076B5DA}"/>
            </a:ext>
          </a:extLst>
        </xdr:cNvPr>
        <xdr:cNvSpPr>
          <a:spLocks noChangeShapeType="1"/>
        </xdr:cNvSpPr>
      </xdr:nvSpPr>
      <xdr:spPr bwMode="auto">
        <a:xfrm flipH="1">
          <a:off x="24409400" y="749300"/>
          <a:ext cx="127000" cy="101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215900</xdr:colOff>
      <xdr:row>3</xdr:row>
      <xdr:rowOff>63500</xdr:rowOff>
    </xdr:from>
    <xdr:to>
      <xdr:col>35</xdr:col>
      <xdr:colOff>457200</xdr:colOff>
      <xdr:row>3</xdr:row>
      <xdr:rowOff>88900</xdr:rowOff>
    </xdr:to>
    <xdr:sp macro="" textlink="">
      <xdr:nvSpPr>
        <xdr:cNvPr id="134155" name="Line 177">
          <a:extLst>
            <a:ext uri="{FF2B5EF4-FFF2-40B4-BE49-F238E27FC236}">
              <a16:creationId xmlns:a16="http://schemas.microsoft.com/office/drawing/2014/main" id="{1B70234C-0349-0D40-889A-859DB21E738E}"/>
            </a:ext>
          </a:extLst>
        </xdr:cNvPr>
        <xdr:cNvSpPr>
          <a:spLocks noChangeShapeType="1"/>
        </xdr:cNvSpPr>
      </xdr:nvSpPr>
      <xdr:spPr bwMode="auto">
        <a:xfrm flipV="1">
          <a:off x="24879300" y="622300"/>
          <a:ext cx="241300" cy="2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35</xdr:col>
      <xdr:colOff>155575</xdr:colOff>
      <xdr:row>23</xdr:row>
      <xdr:rowOff>104775</xdr:rowOff>
    </xdr:from>
    <xdr:ext cx="517322" cy="170560"/>
    <xdr:sp macro="" textlink="">
      <xdr:nvSpPr>
        <xdr:cNvPr id="10418" name="Text Box 178">
          <a:extLst>
            <a:ext uri="{FF2B5EF4-FFF2-40B4-BE49-F238E27FC236}">
              <a16:creationId xmlns:a16="http://schemas.microsoft.com/office/drawing/2014/main" id="{D166FD6B-B8C0-864E-8F0E-B4DF68AD54A4}"/>
            </a:ext>
          </a:extLst>
        </xdr:cNvPr>
        <xdr:cNvSpPr txBox="1">
          <a:spLocks noChangeArrowheads="1"/>
        </xdr:cNvSpPr>
      </xdr:nvSpPr>
      <xdr:spPr bwMode="auto">
        <a:xfrm>
          <a:off x="24818975" y="3965575"/>
          <a:ext cx="517322"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Figure</a:t>
          </a:r>
          <a:r>
            <a:rPr lang="en-US" sz="1000" b="0" i="0" strike="noStrike">
              <a:solidFill>
                <a:srgbClr val="000000"/>
              </a:solidFill>
              <a:latin typeface="Arial"/>
              <a:cs typeface="Arial"/>
            </a:rPr>
            <a:t> </a:t>
          </a:r>
          <a:r>
            <a:rPr lang="en-US" sz="1000" b="1" i="0" strike="noStrike">
              <a:solidFill>
                <a:srgbClr val="000000"/>
              </a:solidFill>
              <a:latin typeface="Arial"/>
              <a:cs typeface="Arial"/>
            </a:rPr>
            <a:t>7</a:t>
          </a:r>
        </a:p>
      </xdr:txBody>
    </xdr:sp>
    <xdr:clientData/>
  </xdr:oneCellAnchor>
  <xdr:oneCellAnchor>
    <xdr:from>
      <xdr:col>36</xdr:col>
      <xdr:colOff>244475</xdr:colOff>
      <xdr:row>5</xdr:row>
      <xdr:rowOff>142875</xdr:rowOff>
    </xdr:from>
    <xdr:ext cx="1365374" cy="170560"/>
    <xdr:sp macro="" textlink="">
      <xdr:nvSpPr>
        <xdr:cNvPr id="10419" name="Text Box 179">
          <a:extLst>
            <a:ext uri="{FF2B5EF4-FFF2-40B4-BE49-F238E27FC236}">
              <a16:creationId xmlns:a16="http://schemas.microsoft.com/office/drawing/2014/main" id="{8AA64FD6-961F-CE47-A6C5-E8A8E10B1F12}"/>
            </a:ext>
          </a:extLst>
        </xdr:cNvPr>
        <xdr:cNvSpPr txBox="1">
          <a:spLocks noChangeArrowheads="1"/>
        </xdr:cNvSpPr>
      </xdr:nvSpPr>
      <xdr:spPr bwMode="auto">
        <a:xfrm>
          <a:off x="23040975" y="1028700"/>
          <a:ext cx="1365374"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Patch (or User Defined)</a:t>
          </a:r>
        </a:p>
      </xdr:txBody>
    </xdr:sp>
    <xdr:clientData/>
  </xdr:oneCellAnchor>
  <xdr:twoCellAnchor>
    <xdr:from>
      <xdr:col>35</xdr:col>
      <xdr:colOff>190500</xdr:colOff>
      <xdr:row>9</xdr:row>
      <xdr:rowOff>101600</xdr:rowOff>
    </xdr:from>
    <xdr:to>
      <xdr:col>36</xdr:col>
      <xdr:colOff>88900</xdr:colOff>
      <xdr:row>9</xdr:row>
      <xdr:rowOff>101600</xdr:rowOff>
    </xdr:to>
    <xdr:sp macro="" textlink="">
      <xdr:nvSpPr>
        <xdr:cNvPr id="134158" name="Line 180">
          <a:extLst>
            <a:ext uri="{FF2B5EF4-FFF2-40B4-BE49-F238E27FC236}">
              <a16:creationId xmlns:a16="http://schemas.microsoft.com/office/drawing/2014/main" id="{CBD502C5-7C01-8249-80DD-BC6393AE342C}"/>
            </a:ext>
          </a:extLst>
        </xdr:cNvPr>
        <xdr:cNvSpPr>
          <a:spLocks noChangeShapeType="1"/>
        </xdr:cNvSpPr>
      </xdr:nvSpPr>
      <xdr:spPr bwMode="auto">
        <a:xfrm flipV="1">
          <a:off x="24853900" y="1651000"/>
          <a:ext cx="571500" cy="0"/>
        </a:xfrm>
        <a:prstGeom prst="line">
          <a:avLst/>
        </a:prstGeom>
        <a:noFill/>
        <a:ln/>
        <a:extLst>
          <a:ext uri="{909E8E84-426E-40DD-AFC4-6F175D3DCCD1}">
            <a14:hiddenFill xmlns:a14="http://schemas.microsoft.com/office/drawing/2010/main">
              <a:noFill/>
            </a14:hiddenFill>
          </a:ext>
        </a:extLst>
      </xdr:spPr>
    </xdr:sp>
    <xdr:clientData/>
  </xdr:twoCellAnchor>
  <xdr:twoCellAnchor>
    <xdr:from>
      <xdr:col>12</xdr:col>
      <xdr:colOff>127000</xdr:colOff>
      <xdr:row>2</xdr:row>
      <xdr:rowOff>76200</xdr:rowOff>
    </xdr:from>
    <xdr:to>
      <xdr:col>14</xdr:col>
      <xdr:colOff>228600</xdr:colOff>
      <xdr:row>12</xdr:row>
      <xdr:rowOff>76200</xdr:rowOff>
    </xdr:to>
    <xdr:sp macro="" textlink="">
      <xdr:nvSpPr>
        <xdr:cNvPr id="134159" name="Freeform 181">
          <a:extLst>
            <a:ext uri="{FF2B5EF4-FFF2-40B4-BE49-F238E27FC236}">
              <a16:creationId xmlns:a16="http://schemas.microsoft.com/office/drawing/2014/main" id="{D2913037-90B5-1F42-AC90-2C3EC5DEA3CF}"/>
            </a:ext>
          </a:extLst>
        </xdr:cNvPr>
        <xdr:cNvSpPr>
          <a:spLocks/>
        </xdr:cNvSpPr>
      </xdr:nvSpPr>
      <xdr:spPr bwMode="auto">
        <a:xfrm>
          <a:off x="8572500" y="469900"/>
          <a:ext cx="1447800" cy="1651000"/>
        </a:xfrm>
        <a:custGeom>
          <a:avLst/>
          <a:gdLst>
            <a:gd name="T0" fmla="*/ 0 w 137"/>
            <a:gd name="T1" fmla="*/ 2147483647 h 170"/>
            <a:gd name="T2" fmla="*/ 2147483647 w 137"/>
            <a:gd name="T3" fmla="*/ 2147483647 h 170"/>
            <a:gd name="T4" fmla="*/ 2147483647 w 137"/>
            <a:gd name="T5" fmla="*/ 2147483647 h 170"/>
            <a:gd name="T6" fmla="*/ 2147483647 w 137"/>
            <a:gd name="T7" fmla="*/ 2147483647 h 170"/>
            <a:gd name="T8" fmla="*/ 2147483647 w 137"/>
            <a:gd name="T9" fmla="*/ 2147483647 h 170"/>
            <a:gd name="T10" fmla="*/ 2147483647 w 137"/>
            <a:gd name="T11" fmla="*/ 2147483647 h 170"/>
            <a:gd name="T12" fmla="*/ 2147483647 w 137"/>
            <a:gd name="T13" fmla="*/ 2147483647 h 170"/>
            <a:gd name="T14" fmla="*/ 2147483647 w 137"/>
            <a:gd name="T15" fmla="*/ 2147483647 h 170"/>
            <a:gd name="T16" fmla="*/ 2147483647 w 137"/>
            <a:gd name="T17" fmla="*/ 2147483647 h 170"/>
            <a:gd name="T18" fmla="*/ 2147483647 w 137"/>
            <a:gd name="T19" fmla="*/ 2147483647 h 170"/>
            <a:gd name="T20" fmla="*/ 2147483647 w 137"/>
            <a:gd name="T21" fmla="*/ 2147483647 h 170"/>
            <a:gd name="T22" fmla="*/ 2147483647 w 137"/>
            <a:gd name="T23" fmla="*/ 2147483647 h 170"/>
            <a:gd name="T24" fmla="*/ 2147483647 w 137"/>
            <a:gd name="T25" fmla="*/ 2147483647 h 170"/>
            <a:gd name="T26" fmla="*/ 2147483647 w 137"/>
            <a:gd name="T27" fmla="*/ 2147483647 h 17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37"/>
            <a:gd name="T43" fmla="*/ 0 h 170"/>
            <a:gd name="T44" fmla="*/ 137 w 137"/>
            <a:gd name="T45" fmla="*/ 170 h 17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37" h="170">
              <a:moveTo>
                <a:pt x="0" y="73"/>
              </a:moveTo>
              <a:cubicBezTo>
                <a:pt x="0" y="53"/>
                <a:pt x="0" y="34"/>
                <a:pt x="2" y="23"/>
              </a:cubicBezTo>
              <a:cubicBezTo>
                <a:pt x="4" y="12"/>
                <a:pt x="5" y="12"/>
                <a:pt x="9" y="9"/>
              </a:cubicBezTo>
              <a:cubicBezTo>
                <a:pt x="13" y="6"/>
                <a:pt x="19" y="4"/>
                <a:pt x="28" y="3"/>
              </a:cubicBezTo>
              <a:cubicBezTo>
                <a:pt x="37" y="2"/>
                <a:pt x="53" y="0"/>
                <a:pt x="64" y="2"/>
              </a:cubicBezTo>
              <a:cubicBezTo>
                <a:pt x="75" y="4"/>
                <a:pt x="88" y="8"/>
                <a:pt x="97" y="14"/>
              </a:cubicBezTo>
              <a:cubicBezTo>
                <a:pt x="106" y="20"/>
                <a:pt x="112" y="28"/>
                <a:pt x="117" y="36"/>
              </a:cubicBezTo>
              <a:cubicBezTo>
                <a:pt x="122" y="44"/>
                <a:pt x="127" y="53"/>
                <a:pt x="130" y="63"/>
              </a:cubicBezTo>
              <a:cubicBezTo>
                <a:pt x="133" y="73"/>
                <a:pt x="135" y="89"/>
                <a:pt x="136" y="97"/>
              </a:cubicBezTo>
              <a:cubicBezTo>
                <a:pt x="137" y="105"/>
                <a:pt x="136" y="104"/>
                <a:pt x="135" y="111"/>
              </a:cubicBezTo>
              <a:cubicBezTo>
                <a:pt x="134" y="118"/>
                <a:pt x="134" y="134"/>
                <a:pt x="130" y="142"/>
              </a:cubicBezTo>
              <a:cubicBezTo>
                <a:pt x="126" y="150"/>
                <a:pt x="117" y="158"/>
                <a:pt x="110" y="162"/>
              </a:cubicBezTo>
              <a:cubicBezTo>
                <a:pt x="103" y="166"/>
                <a:pt x="96" y="166"/>
                <a:pt x="86" y="167"/>
              </a:cubicBezTo>
              <a:cubicBezTo>
                <a:pt x="76" y="168"/>
                <a:pt x="56" y="170"/>
                <a:pt x="50" y="170"/>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2</xdr:row>
      <xdr:rowOff>88900</xdr:rowOff>
    </xdr:from>
    <xdr:to>
      <xdr:col>12</xdr:col>
      <xdr:colOff>88900</xdr:colOff>
      <xdr:row>12</xdr:row>
      <xdr:rowOff>88900</xdr:rowOff>
    </xdr:to>
    <xdr:sp macro="" textlink="">
      <xdr:nvSpPr>
        <xdr:cNvPr id="134160" name="Freeform 182">
          <a:extLst>
            <a:ext uri="{FF2B5EF4-FFF2-40B4-BE49-F238E27FC236}">
              <a16:creationId xmlns:a16="http://schemas.microsoft.com/office/drawing/2014/main" id="{37EE9AD3-400D-3F45-8CDD-795C30926B23}"/>
            </a:ext>
          </a:extLst>
        </xdr:cNvPr>
        <xdr:cNvSpPr>
          <a:spLocks/>
        </xdr:cNvSpPr>
      </xdr:nvSpPr>
      <xdr:spPr bwMode="auto">
        <a:xfrm flipH="1">
          <a:off x="7099300" y="482600"/>
          <a:ext cx="1435100" cy="1651000"/>
        </a:xfrm>
        <a:custGeom>
          <a:avLst/>
          <a:gdLst>
            <a:gd name="T0" fmla="*/ 0 w 137"/>
            <a:gd name="T1" fmla="*/ 2147483647 h 170"/>
            <a:gd name="T2" fmla="*/ 2147483647 w 137"/>
            <a:gd name="T3" fmla="*/ 2147483647 h 170"/>
            <a:gd name="T4" fmla="*/ 2147483647 w 137"/>
            <a:gd name="T5" fmla="*/ 2147483647 h 170"/>
            <a:gd name="T6" fmla="*/ 2147483647 w 137"/>
            <a:gd name="T7" fmla="*/ 2147483647 h 170"/>
            <a:gd name="T8" fmla="*/ 2147483647 w 137"/>
            <a:gd name="T9" fmla="*/ 2147483647 h 170"/>
            <a:gd name="T10" fmla="*/ 2147483647 w 137"/>
            <a:gd name="T11" fmla="*/ 2147483647 h 170"/>
            <a:gd name="T12" fmla="*/ 2147483647 w 137"/>
            <a:gd name="T13" fmla="*/ 2147483647 h 170"/>
            <a:gd name="T14" fmla="*/ 2147483647 w 137"/>
            <a:gd name="T15" fmla="*/ 2147483647 h 170"/>
            <a:gd name="T16" fmla="*/ 2147483647 w 137"/>
            <a:gd name="T17" fmla="*/ 2147483647 h 170"/>
            <a:gd name="T18" fmla="*/ 2147483647 w 137"/>
            <a:gd name="T19" fmla="*/ 2147483647 h 170"/>
            <a:gd name="T20" fmla="*/ 2147483647 w 137"/>
            <a:gd name="T21" fmla="*/ 2147483647 h 170"/>
            <a:gd name="T22" fmla="*/ 2147483647 w 137"/>
            <a:gd name="T23" fmla="*/ 2147483647 h 170"/>
            <a:gd name="T24" fmla="*/ 2147483647 w 137"/>
            <a:gd name="T25" fmla="*/ 2147483647 h 170"/>
            <a:gd name="T26" fmla="*/ 2147483647 w 137"/>
            <a:gd name="T27" fmla="*/ 2147483647 h 17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37"/>
            <a:gd name="T43" fmla="*/ 0 h 170"/>
            <a:gd name="T44" fmla="*/ 137 w 137"/>
            <a:gd name="T45" fmla="*/ 170 h 17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37" h="170">
              <a:moveTo>
                <a:pt x="0" y="73"/>
              </a:moveTo>
              <a:cubicBezTo>
                <a:pt x="0" y="53"/>
                <a:pt x="0" y="34"/>
                <a:pt x="2" y="23"/>
              </a:cubicBezTo>
              <a:cubicBezTo>
                <a:pt x="4" y="12"/>
                <a:pt x="5" y="12"/>
                <a:pt x="9" y="9"/>
              </a:cubicBezTo>
              <a:cubicBezTo>
                <a:pt x="13" y="6"/>
                <a:pt x="19" y="4"/>
                <a:pt x="28" y="3"/>
              </a:cubicBezTo>
              <a:cubicBezTo>
                <a:pt x="37" y="2"/>
                <a:pt x="53" y="0"/>
                <a:pt x="64" y="2"/>
              </a:cubicBezTo>
              <a:cubicBezTo>
                <a:pt x="75" y="4"/>
                <a:pt x="88" y="8"/>
                <a:pt x="97" y="14"/>
              </a:cubicBezTo>
              <a:cubicBezTo>
                <a:pt x="106" y="20"/>
                <a:pt x="112" y="28"/>
                <a:pt x="117" y="36"/>
              </a:cubicBezTo>
              <a:cubicBezTo>
                <a:pt x="122" y="44"/>
                <a:pt x="127" y="53"/>
                <a:pt x="130" y="63"/>
              </a:cubicBezTo>
              <a:cubicBezTo>
                <a:pt x="133" y="73"/>
                <a:pt x="135" y="89"/>
                <a:pt x="136" y="97"/>
              </a:cubicBezTo>
              <a:cubicBezTo>
                <a:pt x="137" y="105"/>
                <a:pt x="136" y="104"/>
                <a:pt x="135" y="111"/>
              </a:cubicBezTo>
              <a:cubicBezTo>
                <a:pt x="134" y="118"/>
                <a:pt x="134" y="134"/>
                <a:pt x="130" y="142"/>
              </a:cubicBezTo>
              <a:cubicBezTo>
                <a:pt x="126" y="150"/>
                <a:pt x="117" y="158"/>
                <a:pt x="110" y="162"/>
              </a:cubicBezTo>
              <a:cubicBezTo>
                <a:pt x="103" y="166"/>
                <a:pt x="96" y="166"/>
                <a:pt x="86" y="167"/>
              </a:cubicBezTo>
              <a:cubicBezTo>
                <a:pt x="76" y="168"/>
                <a:pt x="56" y="170"/>
                <a:pt x="50" y="170"/>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266700</xdr:colOff>
      <xdr:row>12</xdr:row>
      <xdr:rowOff>114300</xdr:rowOff>
    </xdr:from>
    <xdr:to>
      <xdr:col>20</xdr:col>
      <xdr:colOff>63500</xdr:colOff>
      <xdr:row>23</xdr:row>
      <xdr:rowOff>127000</xdr:rowOff>
    </xdr:to>
    <xdr:sp macro="" textlink="">
      <xdr:nvSpPr>
        <xdr:cNvPr id="134161" name="Freeform 183">
          <a:extLst>
            <a:ext uri="{FF2B5EF4-FFF2-40B4-BE49-F238E27FC236}">
              <a16:creationId xmlns:a16="http://schemas.microsoft.com/office/drawing/2014/main" id="{669638C6-26C9-F442-A3C2-E84B13A668ED}"/>
            </a:ext>
          </a:extLst>
        </xdr:cNvPr>
        <xdr:cNvSpPr>
          <a:spLocks/>
        </xdr:cNvSpPr>
      </xdr:nvSpPr>
      <xdr:spPr bwMode="auto">
        <a:xfrm>
          <a:off x="12763500" y="2159000"/>
          <a:ext cx="1866900" cy="1828800"/>
        </a:xfrm>
        <a:custGeom>
          <a:avLst/>
          <a:gdLst>
            <a:gd name="T0" fmla="*/ 2147483647 w 176"/>
            <a:gd name="T1" fmla="*/ 0 h 188"/>
            <a:gd name="T2" fmla="*/ 2147483647 w 176"/>
            <a:gd name="T3" fmla="*/ 2147483647 h 188"/>
            <a:gd name="T4" fmla="*/ 2147483647 w 176"/>
            <a:gd name="T5" fmla="*/ 2147483647 h 188"/>
            <a:gd name="T6" fmla="*/ 2147483647 w 176"/>
            <a:gd name="T7" fmla="*/ 2147483647 h 188"/>
            <a:gd name="T8" fmla="*/ 2147483647 w 176"/>
            <a:gd name="T9" fmla="*/ 2147483647 h 188"/>
            <a:gd name="T10" fmla="*/ 2147483647 w 176"/>
            <a:gd name="T11" fmla="*/ 2147483647 h 188"/>
            <a:gd name="T12" fmla="*/ 2147483647 w 176"/>
            <a:gd name="T13" fmla="*/ 2147483647 h 188"/>
            <a:gd name="T14" fmla="*/ 2147483647 w 176"/>
            <a:gd name="T15" fmla="*/ 2147483647 h 188"/>
            <a:gd name="T16" fmla="*/ 2147483647 w 176"/>
            <a:gd name="T17" fmla="*/ 2147483647 h 188"/>
            <a:gd name="T18" fmla="*/ 2147483647 w 176"/>
            <a:gd name="T19" fmla="*/ 2147483647 h 188"/>
            <a:gd name="T20" fmla="*/ 0 w 176"/>
            <a:gd name="T21" fmla="*/ 2147483647 h 18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76"/>
            <a:gd name="T34" fmla="*/ 0 h 188"/>
            <a:gd name="T35" fmla="*/ 176 w 176"/>
            <a:gd name="T36" fmla="*/ 188 h 18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76" h="188">
              <a:moveTo>
                <a:pt x="55" y="0"/>
              </a:moveTo>
              <a:cubicBezTo>
                <a:pt x="71" y="1"/>
                <a:pt x="88" y="2"/>
                <a:pt x="100" y="3"/>
              </a:cubicBezTo>
              <a:cubicBezTo>
                <a:pt x="112" y="4"/>
                <a:pt x="118" y="5"/>
                <a:pt x="126" y="9"/>
              </a:cubicBezTo>
              <a:cubicBezTo>
                <a:pt x="134" y="13"/>
                <a:pt x="142" y="18"/>
                <a:pt x="150" y="26"/>
              </a:cubicBezTo>
              <a:cubicBezTo>
                <a:pt x="158" y="34"/>
                <a:pt x="168" y="47"/>
                <a:pt x="172" y="59"/>
              </a:cubicBezTo>
              <a:cubicBezTo>
                <a:pt x="176" y="71"/>
                <a:pt x="175" y="86"/>
                <a:pt x="174" y="99"/>
              </a:cubicBezTo>
              <a:cubicBezTo>
                <a:pt x="173" y="112"/>
                <a:pt x="173" y="125"/>
                <a:pt x="168" y="136"/>
              </a:cubicBezTo>
              <a:cubicBezTo>
                <a:pt x="163" y="147"/>
                <a:pt x="151" y="156"/>
                <a:pt x="141" y="163"/>
              </a:cubicBezTo>
              <a:cubicBezTo>
                <a:pt x="131" y="170"/>
                <a:pt x="120" y="174"/>
                <a:pt x="106" y="178"/>
              </a:cubicBezTo>
              <a:cubicBezTo>
                <a:pt x="92" y="182"/>
                <a:pt x="74" y="184"/>
                <a:pt x="56" y="186"/>
              </a:cubicBezTo>
              <a:cubicBezTo>
                <a:pt x="38" y="188"/>
                <a:pt x="19" y="188"/>
                <a:pt x="0" y="188"/>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1079500</xdr:colOff>
      <xdr:row>12</xdr:row>
      <xdr:rowOff>114300</xdr:rowOff>
    </xdr:from>
    <xdr:to>
      <xdr:col>17</xdr:col>
      <xdr:colOff>266700</xdr:colOff>
      <xdr:row>23</xdr:row>
      <xdr:rowOff>127000</xdr:rowOff>
    </xdr:to>
    <xdr:sp macro="" textlink="">
      <xdr:nvSpPr>
        <xdr:cNvPr id="134162" name="Freeform 184">
          <a:extLst>
            <a:ext uri="{FF2B5EF4-FFF2-40B4-BE49-F238E27FC236}">
              <a16:creationId xmlns:a16="http://schemas.microsoft.com/office/drawing/2014/main" id="{1EA1E4EB-DDEC-E14F-8632-A1DD3F12D1F6}"/>
            </a:ext>
          </a:extLst>
        </xdr:cNvPr>
        <xdr:cNvSpPr>
          <a:spLocks/>
        </xdr:cNvSpPr>
      </xdr:nvSpPr>
      <xdr:spPr bwMode="auto">
        <a:xfrm flipH="1">
          <a:off x="10871200" y="2159000"/>
          <a:ext cx="1892300" cy="1828800"/>
        </a:xfrm>
        <a:custGeom>
          <a:avLst/>
          <a:gdLst>
            <a:gd name="T0" fmla="*/ 2147483647 w 176"/>
            <a:gd name="T1" fmla="*/ 0 h 188"/>
            <a:gd name="T2" fmla="*/ 2147483647 w 176"/>
            <a:gd name="T3" fmla="*/ 2147483647 h 188"/>
            <a:gd name="T4" fmla="*/ 2147483647 w 176"/>
            <a:gd name="T5" fmla="*/ 2147483647 h 188"/>
            <a:gd name="T6" fmla="*/ 2147483647 w 176"/>
            <a:gd name="T7" fmla="*/ 2147483647 h 188"/>
            <a:gd name="T8" fmla="*/ 2147483647 w 176"/>
            <a:gd name="T9" fmla="*/ 2147483647 h 188"/>
            <a:gd name="T10" fmla="*/ 2147483647 w 176"/>
            <a:gd name="T11" fmla="*/ 2147483647 h 188"/>
            <a:gd name="T12" fmla="*/ 2147483647 w 176"/>
            <a:gd name="T13" fmla="*/ 2147483647 h 188"/>
            <a:gd name="T14" fmla="*/ 2147483647 w 176"/>
            <a:gd name="T15" fmla="*/ 2147483647 h 188"/>
            <a:gd name="T16" fmla="*/ 2147483647 w 176"/>
            <a:gd name="T17" fmla="*/ 2147483647 h 188"/>
            <a:gd name="T18" fmla="*/ 2147483647 w 176"/>
            <a:gd name="T19" fmla="*/ 2147483647 h 188"/>
            <a:gd name="T20" fmla="*/ 0 w 176"/>
            <a:gd name="T21" fmla="*/ 2147483647 h 18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76"/>
            <a:gd name="T34" fmla="*/ 0 h 188"/>
            <a:gd name="T35" fmla="*/ 176 w 176"/>
            <a:gd name="T36" fmla="*/ 188 h 18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76" h="188">
              <a:moveTo>
                <a:pt x="55" y="0"/>
              </a:moveTo>
              <a:cubicBezTo>
                <a:pt x="71" y="1"/>
                <a:pt x="88" y="2"/>
                <a:pt x="100" y="3"/>
              </a:cubicBezTo>
              <a:cubicBezTo>
                <a:pt x="112" y="4"/>
                <a:pt x="118" y="5"/>
                <a:pt x="126" y="9"/>
              </a:cubicBezTo>
              <a:cubicBezTo>
                <a:pt x="134" y="13"/>
                <a:pt x="142" y="18"/>
                <a:pt x="150" y="26"/>
              </a:cubicBezTo>
              <a:cubicBezTo>
                <a:pt x="158" y="34"/>
                <a:pt x="168" y="47"/>
                <a:pt x="172" y="59"/>
              </a:cubicBezTo>
              <a:cubicBezTo>
                <a:pt x="176" y="71"/>
                <a:pt x="175" y="86"/>
                <a:pt x="174" y="99"/>
              </a:cubicBezTo>
              <a:cubicBezTo>
                <a:pt x="173" y="112"/>
                <a:pt x="173" y="125"/>
                <a:pt x="168" y="136"/>
              </a:cubicBezTo>
              <a:cubicBezTo>
                <a:pt x="163" y="147"/>
                <a:pt x="151" y="156"/>
                <a:pt x="141" y="163"/>
              </a:cubicBezTo>
              <a:cubicBezTo>
                <a:pt x="131" y="170"/>
                <a:pt x="120" y="174"/>
                <a:pt x="106" y="178"/>
              </a:cubicBezTo>
              <a:cubicBezTo>
                <a:pt x="92" y="182"/>
                <a:pt x="74" y="184"/>
                <a:pt x="56" y="186"/>
              </a:cubicBezTo>
              <a:cubicBezTo>
                <a:pt x="38" y="188"/>
                <a:pt x="19" y="188"/>
                <a:pt x="0" y="188"/>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266700</xdr:colOff>
      <xdr:row>1</xdr:row>
      <xdr:rowOff>63500</xdr:rowOff>
    </xdr:from>
    <xdr:to>
      <xdr:col>20</xdr:col>
      <xdr:colOff>63500</xdr:colOff>
      <xdr:row>12</xdr:row>
      <xdr:rowOff>76200</xdr:rowOff>
    </xdr:to>
    <xdr:sp macro="" textlink="">
      <xdr:nvSpPr>
        <xdr:cNvPr id="134163" name="Freeform 185">
          <a:extLst>
            <a:ext uri="{FF2B5EF4-FFF2-40B4-BE49-F238E27FC236}">
              <a16:creationId xmlns:a16="http://schemas.microsoft.com/office/drawing/2014/main" id="{AAE26AF9-A6E7-AD46-8AB4-D62F0C673281}"/>
            </a:ext>
          </a:extLst>
        </xdr:cNvPr>
        <xdr:cNvSpPr>
          <a:spLocks/>
        </xdr:cNvSpPr>
      </xdr:nvSpPr>
      <xdr:spPr bwMode="auto">
        <a:xfrm flipV="1">
          <a:off x="12763500" y="304800"/>
          <a:ext cx="1866900" cy="1816100"/>
        </a:xfrm>
        <a:custGeom>
          <a:avLst/>
          <a:gdLst>
            <a:gd name="T0" fmla="*/ 2147483647 w 176"/>
            <a:gd name="T1" fmla="*/ 0 h 188"/>
            <a:gd name="T2" fmla="*/ 2147483647 w 176"/>
            <a:gd name="T3" fmla="*/ 2147483647 h 188"/>
            <a:gd name="T4" fmla="*/ 2147483647 w 176"/>
            <a:gd name="T5" fmla="*/ 2147483647 h 188"/>
            <a:gd name="T6" fmla="*/ 2147483647 w 176"/>
            <a:gd name="T7" fmla="*/ 2147483647 h 188"/>
            <a:gd name="T8" fmla="*/ 2147483647 w 176"/>
            <a:gd name="T9" fmla="*/ 2147483647 h 188"/>
            <a:gd name="T10" fmla="*/ 2147483647 w 176"/>
            <a:gd name="T11" fmla="*/ 2147483647 h 188"/>
            <a:gd name="T12" fmla="*/ 2147483647 w 176"/>
            <a:gd name="T13" fmla="*/ 2147483647 h 188"/>
            <a:gd name="T14" fmla="*/ 2147483647 w 176"/>
            <a:gd name="T15" fmla="*/ 2147483647 h 188"/>
            <a:gd name="T16" fmla="*/ 2147483647 w 176"/>
            <a:gd name="T17" fmla="*/ 2147483647 h 188"/>
            <a:gd name="T18" fmla="*/ 2147483647 w 176"/>
            <a:gd name="T19" fmla="*/ 2147483647 h 188"/>
            <a:gd name="T20" fmla="*/ 0 w 176"/>
            <a:gd name="T21" fmla="*/ 2147483647 h 18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76"/>
            <a:gd name="T34" fmla="*/ 0 h 188"/>
            <a:gd name="T35" fmla="*/ 176 w 176"/>
            <a:gd name="T36" fmla="*/ 188 h 18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76" h="188">
              <a:moveTo>
                <a:pt x="55" y="0"/>
              </a:moveTo>
              <a:cubicBezTo>
                <a:pt x="71" y="1"/>
                <a:pt x="88" y="2"/>
                <a:pt x="100" y="3"/>
              </a:cubicBezTo>
              <a:cubicBezTo>
                <a:pt x="112" y="4"/>
                <a:pt x="118" y="5"/>
                <a:pt x="126" y="9"/>
              </a:cubicBezTo>
              <a:cubicBezTo>
                <a:pt x="134" y="13"/>
                <a:pt x="142" y="18"/>
                <a:pt x="150" y="26"/>
              </a:cubicBezTo>
              <a:cubicBezTo>
                <a:pt x="158" y="34"/>
                <a:pt x="168" y="47"/>
                <a:pt x="172" y="59"/>
              </a:cubicBezTo>
              <a:cubicBezTo>
                <a:pt x="176" y="71"/>
                <a:pt x="175" y="86"/>
                <a:pt x="174" y="99"/>
              </a:cubicBezTo>
              <a:cubicBezTo>
                <a:pt x="173" y="112"/>
                <a:pt x="173" y="125"/>
                <a:pt x="168" y="136"/>
              </a:cubicBezTo>
              <a:cubicBezTo>
                <a:pt x="163" y="147"/>
                <a:pt x="151" y="156"/>
                <a:pt x="141" y="163"/>
              </a:cubicBezTo>
              <a:cubicBezTo>
                <a:pt x="131" y="170"/>
                <a:pt x="120" y="174"/>
                <a:pt x="106" y="178"/>
              </a:cubicBezTo>
              <a:cubicBezTo>
                <a:pt x="92" y="182"/>
                <a:pt x="74" y="184"/>
                <a:pt x="56" y="186"/>
              </a:cubicBezTo>
              <a:cubicBezTo>
                <a:pt x="38" y="188"/>
                <a:pt x="19" y="188"/>
                <a:pt x="0" y="188"/>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1016000</xdr:colOff>
      <xdr:row>1</xdr:row>
      <xdr:rowOff>63500</xdr:rowOff>
    </xdr:from>
    <xdr:to>
      <xdr:col>17</xdr:col>
      <xdr:colOff>215900</xdr:colOff>
      <xdr:row>12</xdr:row>
      <xdr:rowOff>76200</xdr:rowOff>
    </xdr:to>
    <xdr:sp macro="" textlink="">
      <xdr:nvSpPr>
        <xdr:cNvPr id="134164" name="Freeform 186">
          <a:extLst>
            <a:ext uri="{FF2B5EF4-FFF2-40B4-BE49-F238E27FC236}">
              <a16:creationId xmlns:a16="http://schemas.microsoft.com/office/drawing/2014/main" id="{805210ED-E428-9F45-862D-24AE29A66051}"/>
            </a:ext>
          </a:extLst>
        </xdr:cNvPr>
        <xdr:cNvSpPr>
          <a:spLocks/>
        </xdr:cNvSpPr>
      </xdr:nvSpPr>
      <xdr:spPr bwMode="auto">
        <a:xfrm flipH="1" flipV="1">
          <a:off x="10807700" y="304800"/>
          <a:ext cx="1905000" cy="1816100"/>
        </a:xfrm>
        <a:custGeom>
          <a:avLst/>
          <a:gdLst>
            <a:gd name="T0" fmla="*/ 2147483647 w 176"/>
            <a:gd name="T1" fmla="*/ 0 h 188"/>
            <a:gd name="T2" fmla="*/ 2147483647 w 176"/>
            <a:gd name="T3" fmla="*/ 2147483647 h 188"/>
            <a:gd name="T4" fmla="*/ 2147483647 w 176"/>
            <a:gd name="T5" fmla="*/ 2147483647 h 188"/>
            <a:gd name="T6" fmla="*/ 2147483647 w 176"/>
            <a:gd name="T7" fmla="*/ 2147483647 h 188"/>
            <a:gd name="T8" fmla="*/ 2147483647 w 176"/>
            <a:gd name="T9" fmla="*/ 2147483647 h 188"/>
            <a:gd name="T10" fmla="*/ 2147483647 w 176"/>
            <a:gd name="T11" fmla="*/ 2147483647 h 188"/>
            <a:gd name="T12" fmla="*/ 2147483647 w 176"/>
            <a:gd name="T13" fmla="*/ 2147483647 h 188"/>
            <a:gd name="T14" fmla="*/ 2147483647 w 176"/>
            <a:gd name="T15" fmla="*/ 2147483647 h 188"/>
            <a:gd name="T16" fmla="*/ 2147483647 w 176"/>
            <a:gd name="T17" fmla="*/ 2147483647 h 188"/>
            <a:gd name="T18" fmla="*/ 2147483647 w 176"/>
            <a:gd name="T19" fmla="*/ 2147483647 h 188"/>
            <a:gd name="T20" fmla="*/ 0 w 176"/>
            <a:gd name="T21" fmla="*/ 2147483647 h 18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76"/>
            <a:gd name="T34" fmla="*/ 0 h 188"/>
            <a:gd name="T35" fmla="*/ 176 w 176"/>
            <a:gd name="T36" fmla="*/ 188 h 18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76" h="188">
              <a:moveTo>
                <a:pt x="55" y="0"/>
              </a:moveTo>
              <a:cubicBezTo>
                <a:pt x="71" y="1"/>
                <a:pt x="88" y="2"/>
                <a:pt x="100" y="3"/>
              </a:cubicBezTo>
              <a:cubicBezTo>
                <a:pt x="112" y="4"/>
                <a:pt x="118" y="5"/>
                <a:pt x="126" y="9"/>
              </a:cubicBezTo>
              <a:cubicBezTo>
                <a:pt x="134" y="13"/>
                <a:pt x="142" y="18"/>
                <a:pt x="150" y="26"/>
              </a:cubicBezTo>
              <a:cubicBezTo>
                <a:pt x="158" y="34"/>
                <a:pt x="168" y="47"/>
                <a:pt x="172" y="59"/>
              </a:cubicBezTo>
              <a:cubicBezTo>
                <a:pt x="176" y="71"/>
                <a:pt x="175" y="86"/>
                <a:pt x="174" y="99"/>
              </a:cubicBezTo>
              <a:cubicBezTo>
                <a:pt x="173" y="112"/>
                <a:pt x="173" y="125"/>
                <a:pt x="168" y="136"/>
              </a:cubicBezTo>
              <a:cubicBezTo>
                <a:pt x="163" y="147"/>
                <a:pt x="151" y="156"/>
                <a:pt x="141" y="163"/>
              </a:cubicBezTo>
              <a:cubicBezTo>
                <a:pt x="131" y="170"/>
                <a:pt x="120" y="174"/>
                <a:pt x="106" y="178"/>
              </a:cubicBezTo>
              <a:cubicBezTo>
                <a:pt x="92" y="182"/>
                <a:pt x="74" y="184"/>
                <a:pt x="56" y="186"/>
              </a:cubicBezTo>
              <a:cubicBezTo>
                <a:pt x="38" y="188"/>
                <a:pt x="19" y="188"/>
                <a:pt x="0" y="188"/>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520700</xdr:colOff>
      <xdr:row>1</xdr:row>
      <xdr:rowOff>12700</xdr:rowOff>
    </xdr:from>
    <xdr:to>
      <xdr:col>50</xdr:col>
      <xdr:colOff>0</xdr:colOff>
      <xdr:row>38</xdr:row>
      <xdr:rowOff>152400</xdr:rowOff>
    </xdr:to>
    <xdr:graphicFrame macro="">
      <xdr:nvGraphicFramePr>
        <xdr:cNvPr id="134165" name="Chart 187">
          <a:extLst>
            <a:ext uri="{FF2B5EF4-FFF2-40B4-BE49-F238E27FC236}">
              <a16:creationId xmlns:a16="http://schemas.microsoft.com/office/drawing/2014/main" id="{A721832F-E384-C646-8754-D92E45A4A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46</xdr:col>
      <xdr:colOff>460375</xdr:colOff>
      <xdr:row>36</xdr:row>
      <xdr:rowOff>152400</xdr:rowOff>
    </xdr:from>
    <xdr:ext cx="626326" cy="204736"/>
    <xdr:sp macro="" textlink="">
      <xdr:nvSpPr>
        <xdr:cNvPr id="10428" name="Text Box 188">
          <a:extLst>
            <a:ext uri="{FF2B5EF4-FFF2-40B4-BE49-F238E27FC236}">
              <a16:creationId xmlns:a16="http://schemas.microsoft.com/office/drawing/2014/main" id="{318F0AD5-CB40-884A-9059-F04F8B577E30}"/>
            </a:ext>
          </a:extLst>
        </xdr:cNvPr>
        <xdr:cNvSpPr txBox="1">
          <a:spLocks noChangeArrowheads="1"/>
        </xdr:cNvSpPr>
      </xdr:nvSpPr>
      <xdr:spPr bwMode="auto">
        <a:xfrm>
          <a:off x="32527875" y="6400800"/>
          <a:ext cx="626326" cy="204736"/>
        </a:xfrm>
        <a:prstGeom prst="rect">
          <a:avLst/>
        </a:prstGeom>
        <a:noFill/>
        <a:ln w="9525">
          <a:noFill/>
          <a:miter lim="800000"/>
          <a:headEnd/>
          <a:tailEnd/>
        </a:ln>
      </xdr:spPr>
      <xdr:txBody>
        <a:bodyPr wrap="none" lIns="27432" tIns="27432" rIns="0" bIns="0" anchor="t" upright="1">
          <a:spAutoFit/>
        </a:bodyPr>
        <a:lstStyle/>
        <a:p>
          <a:pPr algn="l" rtl="1">
            <a:defRPr sz="1000"/>
          </a:pPr>
          <a:r>
            <a:rPr lang="en-US" sz="1200" b="1" i="0" strike="noStrike">
              <a:solidFill>
                <a:srgbClr val="000000"/>
              </a:solidFill>
              <a:latin typeface="Arial"/>
              <a:cs typeface="Arial"/>
            </a:rPr>
            <a:t>Figure 8</a:t>
          </a:r>
        </a:p>
      </xdr:txBody>
    </xdr:sp>
    <xdr:clientData/>
  </xdr:oneCellAnchor>
  <xdr:twoCellAnchor>
    <xdr:from>
      <xdr:col>34</xdr:col>
      <xdr:colOff>304800</xdr:colOff>
      <xdr:row>1</xdr:row>
      <xdr:rowOff>152400</xdr:rowOff>
    </xdr:from>
    <xdr:to>
      <xdr:col>35</xdr:col>
      <xdr:colOff>469900</xdr:colOff>
      <xdr:row>9</xdr:row>
      <xdr:rowOff>88900</xdr:rowOff>
    </xdr:to>
    <xdr:sp macro="" textlink="">
      <xdr:nvSpPr>
        <xdr:cNvPr id="134167" name="Freeform 191">
          <a:extLst>
            <a:ext uri="{FF2B5EF4-FFF2-40B4-BE49-F238E27FC236}">
              <a16:creationId xmlns:a16="http://schemas.microsoft.com/office/drawing/2014/main" id="{7DA76CB8-AB63-FF4A-8AA7-1A36A96ACD7D}"/>
            </a:ext>
          </a:extLst>
        </xdr:cNvPr>
        <xdr:cNvSpPr>
          <a:spLocks/>
        </xdr:cNvSpPr>
      </xdr:nvSpPr>
      <xdr:spPr bwMode="auto">
        <a:xfrm>
          <a:off x="24295100" y="393700"/>
          <a:ext cx="838200" cy="1244600"/>
        </a:xfrm>
        <a:custGeom>
          <a:avLst/>
          <a:gdLst>
            <a:gd name="T0" fmla="*/ 2147483647 w 80"/>
            <a:gd name="T1" fmla="*/ 0 h 129"/>
            <a:gd name="T2" fmla="*/ 2147483647 w 80"/>
            <a:gd name="T3" fmla="*/ 2147483647 h 129"/>
            <a:gd name="T4" fmla="*/ 2147483647 w 80"/>
            <a:gd name="T5" fmla="*/ 2147483647 h 129"/>
            <a:gd name="T6" fmla="*/ 2147483647 w 80"/>
            <a:gd name="T7" fmla="*/ 2147483647 h 129"/>
            <a:gd name="T8" fmla="*/ 2147483647 w 80"/>
            <a:gd name="T9" fmla="*/ 2147483647 h 129"/>
            <a:gd name="T10" fmla="*/ 2147483647 w 80"/>
            <a:gd name="T11" fmla="*/ 2147483647 h 129"/>
            <a:gd name="T12" fmla="*/ 2147483647 w 80"/>
            <a:gd name="T13" fmla="*/ 2147483647 h 129"/>
            <a:gd name="T14" fmla="*/ 2147483647 w 80"/>
            <a:gd name="T15" fmla="*/ 2147483647 h 129"/>
            <a:gd name="T16" fmla="*/ 2147483647 w 80"/>
            <a:gd name="T17" fmla="*/ 2147483647 h 129"/>
            <a:gd name="T18" fmla="*/ 2147483647 w 80"/>
            <a:gd name="T19" fmla="*/ 2147483647 h 129"/>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80"/>
            <a:gd name="T31" fmla="*/ 0 h 129"/>
            <a:gd name="T32" fmla="*/ 80 w 80"/>
            <a:gd name="T33" fmla="*/ 129 h 129"/>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80" h="129">
              <a:moveTo>
                <a:pt x="80" y="0"/>
              </a:moveTo>
              <a:cubicBezTo>
                <a:pt x="70" y="1"/>
                <a:pt x="61" y="2"/>
                <a:pt x="54" y="3"/>
              </a:cubicBezTo>
              <a:cubicBezTo>
                <a:pt x="47" y="4"/>
                <a:pt x="45" y="6"/>
                <a:pt x="40" y="8"/>
              </a:cubicBezTo>
              <a:cubicBezTo>
                <a:pt x="35" y="10"/>
                <a:pt x="28" y="14"/>
                <a:pt x="23" y="17"/>
              </a:cubicBezTo>
              <a:cubicBezTo>
                <a:pt x="18" y="20"/>
                <a:pt x="15" y="23"/>
                <a:pt x="12" y="28"/>
              </a:cubicBezTo>
              <a:cubicBezTo>
                <a:pt x="9" y="33"/>
                <a:pt x="5" y="38"/>
                <a:pt x="3" y="44"/>
              </a:cubicBezTo>
              <a:cubicBezTo>
                <a:pt x="1" y="50"/>
                <a:pt x="0" y="58"/>
                <a:pt x="1" y="66"/>
              </a:cubicBezTo>
              <a:cubicBezTo>
                <a:pt x="2" y="74"/>
                <a:pt x="4" y="87"/>
                <a:pt x="8" y="94"/>
              </a:cubicBezTo>
              <a:cubicBezTo>
                <a:pt x="12" y="101"/>
                <a:pt x="15" y="105"/>
                <a:pt x="27" y="111"/>
              </a:cubicBezTo>
              <a:cubicBezTo>
                <a:pt x="39" y="117"/>
                <a:pt x="59" y="123"/>
                <a:pt x="79" y="129"/>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495300</xdr:colOff>
      <xdr:row>1</xdr:row>
      <xdr:rowOff>152400</xdr:rowOff>
    </xdr:from>
    <xdr:to>
      <xdr:col>36</xdr:col>
      <xdr:colOff>660400</xdr:colOff>
      <xdr:row>9</xdr:row>
      <xdr:rowOff>88900</xdr:rowOff>
    </xdr:to>
    <xdr:sp macro="" textlink="">
      <xdr:nvSpPr>
        <xdr:cNvPr id="134168" name="Freeform 192">
          <a:extLst>
            <a:ext uri="{FF2B5EF4-FFF2-40B4-BE49-F238E27FC236}">
              <a16:creationId xmlns:a16="http://schemas.microsoft.com/office/drawing/2014/main" id="{AFF4FBE1-48C9-2540-BB1D-265777EF9C9D}"/>
            </a:ext>
          </a:extLst>
        </xdr:cNvPr>
        <xdr:cNvSpPr>
          <a:spLocks/>
        </xdr:cNvSpPr>
      </xdr:nvSpPr>
      <xdr:spPr bwMode="auto">
        <a:xfrm flipH="1">
          <a:off x="25158700" y="393700"/>
          <a:ext cx="838200" cy="1244600"/>
        </a:xfrm>
        <a:custGeom>
          <a:avLst/>
          <a:gdLst>
            <a:gd name="T0" fmla="*/ 2147483647 w 80"/>
            <a:gd name="T1" fmla="*/ 0 h 129"/>
            <a:gd name="T2" fmla="*/ 2147483647 w 80"/>
            <a:gd name="T3" fmla="*/ 2147483647 h 129"/>
            <a:gd name="T4" fmla="*/ 2147483647 w 80"/>
            <a:gd name="T5" fmla="*/ 2147483647 h 129"/>
            <a:gd name="T6" fmla="*/ 2147483647 w 80"/>
            <a:gd name="T7" fmla="*/ 2147483647 h 129"/>
            <a:gd name="T8" fmla="*/ 2147483647 w 80"/>
            <a:gd name="T9" fmla="*/ 2147483647 h 129"/>
            <a:gd name="T10" fmla="*/ 2147483647 w 80"/>
            <a:gd name="T11" fmla="*/ 2147483647 h 129"/>
            <a:gd name="T12" fmla="*/ 2147483647 w 80"/>
            <a:gd name="T13" fmla="*/ 2147483647 h 129"/>
            <a:gd name="T14" fmla="*/ 2147483647 w 80"/>
            <a:gd name="T15" fmla="*/ 2147483647 h 129"/>
            <a:gd name="T16" fmla="*/ 2147483647 w 80"/>
            <a:gd name="T17" fmla="*/ 2147483647 h 129"/>
            <a:gd name="T18" fmla="*/ 2147483647 w 80"/>
            <a:gd name="T19" fmla="*/ 2147483647 h 129"/>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80"/>
            <a:gd name="T31" fmla="*/ 0 h 129"/>
            <a:gd name="T32" fmla="*/ 80 w 80"/>
            <a:gd name="T33" fmla="*/ 129 h 129"/>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80" h="129">
              <a:moveTo>
                <a:pt x="80" y="0"/>
              </a:moveTo>
              <a:cubicBezTo>
                <a:pt x="70" y="1"/>
                <a:pt x="61" y="2"/>
                <a:pt x="54" y="3"/>
              </a:cubicBezTo>
              <a:cubicBezTo>
                <a:pt x="47" y="4"/>
                <a:pt x="45" y="6"/>
                <a:pt x="40" y="8"/>
              </a:cubicBezTo>
              <a:cubicBezTo>
                <a:pt x="35" y="10"/>
                <a:pt x="28" y="14"/>
                <a:pt x="23" y="17"/>
              </a:cubicBezTo>
              <a:cubicBezTo>
                <a:pt x="18" y="20"/>
                <a:pt x="15" y="23"/>
                <a:pt x="12" y="28"/>
              </a:cubicBezTo>
              <a:cubicBezTo>
                <a:pt x="9" y="33"/>
                <a:pt x="5" y="38"/>
                <a:pt x="3" y="44"/>
              </a:cubicBezTo>
              <a:cubicBezTo>
                <a:pt x="1" y="50"/>
                <a:pt x="0" y="58"/>
                <a:pt x="1" y="66"/>
              </a:cubicBezTo>
              <a:cubicBezTo>
                <a:pt x="2" y="74"/>
                <a:pt x="4" y="87"/>
                <a:pt x="8" y="94"/>
              </a:cubicBezTo>
              <a:cubicBezTo>
                <a:pt x="12" y="101"/>
                <a:pt x="15" y="105"/>
                <a:pt x="27" y="111"/>
              </a:cubicBezTo>
              <a:cubicBezTo>
                <a:pt x="39" y="117"/>
                <a:pt x="59" y="123"/>
                <a:pt x="79" y="129"/>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254000</xdr:colOff>
      <xdr:row>1</xdr:row>
      <xdr:rowOff>139700</xdr:rowOff>
    </xdr:from>
    <xdr:to>
      <xdr:col>31</xdr:col>
      <xdr:colOff>469900</xdr:colOff>
      <xdr:row>15</xdr:row>
      <xdr:rowOff>114300</xdr:rowOff>
    </xdr:to>
    <xdr:sp macro="" textlink="">
      <xdr:nvSpPr>
        <xdr:cNvPr id="134169" name="Freeform 196">
          <a:extLst>
            <a:ext uri="{FF2B5EF4-FFF2-40B4-BE49-F238E27FC236}">
              <a16:creationId xmlns:a16="http://schemas.microsoft.com/office/drawing/2014/main" id="{C619E3EA-1C37-B949-9C03-472158B39EF0}"/>
            </a:ext>
          </a:extLst>
        </xdr:cNvPr>
        <xdr:cNvSpPr>
          <a:spLocks/>
        </xdr:cNvSpPr>
      </xdr:nvSpPr>
      <xdr:spPr bwMode="auto">
        <a:xfrm>
          <a:off x="20878800" y="381000"/>
          <a:ext cx="1562100" cy="2273300"/>
        </a:xfrm>
        <a:custGeom>
          <a:avLst/>
          <a:gdLst>
            <a:gd name="T0" fmla="*/ 0 w 149"/>
            <a:gd name="T1" fmla="*/ 2147483647 h 235"/>
            <a:gd name="T2" fmla="*/ 2147483647 w 149"/>
            <a:gd name="T3" fmla="*/ 0 h 235"/>
            <a:gd name="T4" fmla="*/ 2147483647 w 149"/>
            <a:gd name="T5" fmla="*/ 2147483647 h 235"/>
            <a:gd name="T6" fmla="*/ 2147483647 w 149"/>
            <a:gd name="T7" fmla="*/ 2147483647 h 235"/>
            <a:gd name="T8" fmla="*/ 2147483647 w 149"/>
            <a:gd name="T9" fmla="*/ 2147483647 h 235"/>
            <a:gd name="T10" fmla="*/ 2147483647 w 149"/>
            <a:gd name="T11" fmla="*/ 2147483647 h 235"/>
            <a:gd name="T12" fmla="*/ 2147483647 w 149"/>
            <a:gd name="T13" fmla="*/ 2147483647 h 235"/>
            <a:gd name="T14" fmla="*/ 2147483647 w 149"/>
            <a:gd name="T15" fmla="*/ 2147483647 h 235"/>
            <a:gd name="T16" fmla="*/ 2147483647 w 149"/>
            <a:gd name="T17" fmla="*/ 2147483647 h 235"/>
            <a:gd name="T18" fmla="*/ 2147483647 w 149"/>
            <a:gd name="T19" fmla="*/ 2147483647 h 235"/>
            <a:gd name="T20" fmla="*/ 2147483647 w 149"/>
            <a:gd name="T21" fmla="*/ 2147483647 h 235"/>
            <a:gd name="T22" fmla="*/ 2147483647 w 149"/>
            <a:gd name="T23" fmla="*/ 2147483647 h 235"/>
            <a:gd name="T24" fmla="*/ 2147483647 w 149"/>
            <a:gd name="T25" fmla="*/ 2147483647 h 235"/>
            <a:gd name="T26" fmla="*/ 2147483647 w 149"/>
            <a:gd name="T27" fmla="*/ 2147483647 h 235"/>
            <a:gd name="T28" fmla="*/ 2147483647 w 149"/>
            <a:gd name="T29" fmla="*/ 2147483647 h 235"/>
            <a:gd name="T30" fmla="*/ 2147483647 w 149"/>
            <a:gd name="T31" fmla="*/ 2147483647 h 235"/>
            <a:gd name="T32" fmla="*/ 2147483647 w 149"/>
            <a:gd name="T33" fmla="*/ 2147483647 h 235"/>
            <a:gd name="T34" fmla="*/ 2147483647 w 149"/>
            <a:gd name="T35" fmla="*/ 2147483647 h 235"/>
            <a:gd name="T36" fmla="*/ 2147483647 w 149"/>
            <a:gd name="T37" fmla="*/ 2147483647 h 235"/>
            <a:gd name="T38" fmla="*/ 2147483647 w 149"/>
            <a:gd name="T39" fmla="*/ 2147483647 h 235"/>
            <a:gd name="T40" fmla="*/ 2147483647 w 149"/>
            <a:gd name="T41" fmla="*/ 2147483647 h 235"/>
            <a:gd name="T42" fmla="*/ 2147483647 w 149"/>
            <a:gd name="T43" fmla="*/ 2147483647 h 235"/>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49"/>
            <a:gd name="T67" fmla="*/ 0 h 235"/>
            <a:gd name="T68" fmla="*/ 149 w 149"/>
            <a:gd name="T69" fmla="*/ 235 h 235"/>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49" h="235">
              <a:moveTo>
                <a:pt x="0" y="1"/>
              </a:moveTo>
              <a:cubicBezTo>
                <a:pt x="2" y="0"/>
                <a:pt x="5" y="0"/>
                <a:pt x="10" y="0"/>
              </a:cubicBezTo>
              <a:cubicBezTo>
                <a:pt x="15" y="0"/>
                <a:pt x="24" y="3"/>
                <a:pt x="30" y="4"/>
              </a:cubicBezTo>
              <a:cubicBezTo>
                <a:pt x="36" y="5"/>
                <a:pt x="42" y="6"/>
                <a:pt x="48" y="8"/>
              </a:cubicBezTo>
              <a:cubicBezTo>
                <a:pt x="54" y="10"/>
                <a:pt x="62" y="12"/>
                <a:pt x="68" y="15"/>
              </a:cubicBezTo>
              <a:cubicBezTo>
                <a:pt x="74" y="18"/>
                <a:pt x="80" y="21"/>
                <a:pt x="85" y="24"/>
              </a:cubicBezTo>
              <a:cubicBezTo>
                <a:pt x="90" y="27"/>
                <a:pt x="96" y="31"/>
                <a:pt x="101" y="36"/>
              </a:cubicBezTo>
              <a:cubicBezTo>
                <a:pt x="106" y="41"/>
                <a:pt x="112" y="44"/>
                <a:pt x="118" y="52"/>
              </a:cubicBezTo>
              <a:cubicBezTo>
                <a:pt x="124" y="60"/>
                <a:pt x="132" y="73"/>
                <a:pt x="136" y="82"/>
              </a:cubicBezTo>
              <a:cubicBezTo>
                <a:pt x="140" y="91"/>
                <a:pt x="142" y="98"/>
                <a:pt x="144" y="104"/>
              </a:cubicBezTo>
              <a:cubicBezTo>
                <a:pt x="146" y="110"/>
                <a:pt x="147" y="115"/>
                <a:pt x="148" y="119"/>
              </a:cubicBezTo>
              <a:cubicBezTo>
                <a:pt x="149" y="123"/>
                <a:pt x="149" y="126"/>
                <a:pt x="149" y="131"/>
              </a:cubicBezTo>
              <a:cubicBezTo>
                <a:pt x="149" y="136"/>
                <a:pt x="149" y="142"/>
                <a:pt x="149" y="147"/>
              </a:cubicBezTo>
              <a:cubicBezTo>
                <a:pt x="149" y="152"/>
                <a:pt x="148" y="156"/>
                <a:pt x="147" y="162"/>
              </a:cubicBezTo>
              <a:cubicBezTo>
                <a:pt x="146" y="168"/>
                <a:pt x="147" y="174"/>
                <a:pt x="144" y="182"/>
              </a:cubicBezTo>
              <a:cubicBezTo>
                <a:pt x="141" y="190"/>
                <a:pt x="134" y="205"/>
                <a:pt x="129" y="212"/>
              </a:cubicBezTo>
              <a:cubicBezTo>
                <a:pt x="124" y="219"/>
                <a:pt x="122" y="222"/>
                <a:pt x="116" y="226"/>
              </a:cubicBezTo>
              <a:cubicBezTo>
                <a:pt x="110" y="230"/>
                <a:pt x="98" y="233"/>
                <a:pt x="91" y="234"/>
              </a:cubicBezTo>
              <a:cubicBezTo>
                <a:pt x="84" y="235"/>
                <a:pt x="80" y="233"/>
                <a:pt x="76" y="232"/>
              </a:cubicBezTo>
              <a:cubicBezTo>
                <a:pt x="72" y="231"/>
                <a:pt x="72" y="231"/>
                <a:pt x="66" y="228"/>
              </a:cubicBezTo>
              <a:cubicBezTo>
                <a:pt x="60" y="225"/>
                <a:pt x="50" y="221"/>
                <a:pt x="40" y="213"/>
              </a:cubicBezTo>
              <a:cubicBezTo>
                <a:pt x="30" y="205"/>
                <a:pt x="19" y="192"/>
                <a:pt x="8" y="180"/>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38100</xdr:colOff>
      <xdr:row>1</xdr:row>
      <xdr:rowOff>139700</xdr:rowOff>
    </xdr:from>
    <xdr:to>
      <xdr:col>29</xdr:col>
      <xdr:colOff>266700</xdr:colOff>
      <xdr:row>15</xdr:row>
      <xdr:rowOff>114300</xdr:rowOff>
    </xdr:to>
    <xdr:sp macro="" textlink="">
      <xdr:nvSpPr>
        <xdr:cNvPr id="134170" name="Freeform 197">
          <a:extLst>
            <a:ext uri="{FF2B5EF4-FFF2-40B4-BE49-F238E27FC236}">
              <a16:creationId xmlns:a16="http://schemas.microsoft.com/office/drawing/2014/main" id="{344129FA-5D68-544E-902E-EC8230F00F73}"/>
            </a:ext>
          </a:extLst>
        </xdr:cNvPr>
        <xdr:cNvSpPr>
          <a:spLocks/>
        </xdr:cNvSpPr>
      </xdr:nvSpPr>
      <xdr:spPr bwMode="auto">
        <a:xfrm flipH="1">
          <a:off x="19316700" y="381000"/>
          <a:ext cx="1574800" cy="2273300"/>
        </a:xfrm>
        <a:custGeom>
          <a:avLst/>
          <a:gdLst>
            <a:gd name="T0" fmla="*/ 0 w 149"/>
            <a:gd name="T1" fmla="*/ 2147483647 h 235"/>
            <a:gd name="T2" fmla="*/ 2147483647 w 149"/>
            <a:gd name="T3" fmla="*/ 0 h 235"/>
            <a:gd name="T4" fmla="*/ 2147483647 w 149"/>
            <a:gd name="T5" fmla="*/ 2147483647 h 235"/>
            <a:gd name="T6" fmla="*/ 2147483647 w 149"/>
            <a:gd name="T7" fmla="*/ 2147483647 h 235"/>
            <a:gd name="T8" fmla="*/ 2147483647 w 149"/>
            <a:gd name="T9" fmla="*/ 2147483647 h 235"/>
            <a:gd name="T10" fmla="*/ 2147483647 w 149"/>
            <a:gd name="T11" fmla="*/ 2147483647 h 235"/>
            <a:gd name="T12" fmla="*/ 2147483647 w 149"/>
            <a:gd name="T13" fmla="*/ 2147483647 h 235"/>
            <a:gd name="T14" fmla="*/ 2147483647 w 149"/>
            <a:gd name="T15" fmla="*/ 2147483647 h 235"/>
            <a:gd name="T16" fmla="*/ 2147483647 w 149"/>
            <a:gd name="T17" fmla="*/ 2147483647 h 235"/>
            <a:gd name="T18" fmla="*/ 2147483647 w 149"/>
            <a:gd name="T19" fmla="*/ 2147483647 h 235"/>
            <a:gd name="T20" fmla="*/ 2147483647 w 149"/>
            <a:gd name="T21" fmla="*/ 2147483647 h 235"/>
            <a:gd name="T22" fmla="*/ 2147483647 w 149"/>
            <a:gd name="T23" fmla="*/ 2147483647 h 235"/>
            <a:gd name="T24" fmla="*/ 2147483647 w 149"/>
            <a:gd name="T25" fmla="*/ 2147483647 h 235"/>
            <a:gd name="T26" fmla="*/ 2147483647 w 149"/>
            <a:gd name="T27" fmla="*/ 2147483647 h 235"/>
            <a:gd name="T28" fmla="*/ 2147483647 w 149"/>
            <a:gd name="T29" fmla="*/ 2147483647 h 235"/>
            <a:gd name="T30" fmla="*/ 2147483647 w 149"/>
            <a:gd name="T31" fmla="*/ 2147483647 h 235"/>
            <a:gd name="T32" fmla="*/ 2147483647 w 149"/>
            <a:gd name="T33" fmla="*/ 2147483647 h 235"/>
            <a:gd name="T34" fmla="*/ 2147483647 w 149"/>
            <a:gd name="T35" fmla="*/ 2147483647 h 235"/>
            <a:gd name="T36" fmla="*/ 2147483647 w 149"/>
            <a:gd name="T37" fmla="*/ 2147483647 h 235"/>
            <a:gd name="T38" fmla="*/ 2147483647 w 149"/>
            <a:gd name="T39" fmla="*/ 2147483647 h 235"/>
            <a:gd name="T40" fmla="*/ 2147483647 w 149"/>
            <a:gd name="T41" fmla="*/ 2147483647 h 235"/>
            <a:gd name="T42" fmla="*/ 2147483647 w 149"/>
            <a:gd name="T43" fmla="*/ 2147483647 h 235"/>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49"/>
            <a:gd name="T67" fmla="*/ 0 h 235"/>
            <a:gd name="T68" fmla="*/ 149 w 149"/>
            <a:gd name="T69" fmla="*/ 235 h 235"/>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49" h="235">
              <a:moveTo>
                <a:pt x="0" y="1"/>
              </a:moveTo>
              <a:cubicBezTo>
                <a:pt x="2" y="0"/>
                <a:pt x="5" y="0"/>
                <a:pt x="10" y="0"/>
              </a:cubicBezTo>
              <a:cubicBezTo>
                <a:pt x="15" y="0"/>
                <a:pt x="24" y="3"/>
                <a:pt x="30" y="4"/>
              </a:cubicBezTo>
              <a:cubicBezTo>
                <a:pt x="36" y="5"/>
                <a:pt x="42" y="6"/>
                <a:pt x="48" y="8"/>
              </a:cubicBezTo>
              <a:cubicBezTo>
                <a:pt x="54" y="10"/>
                <a:pt x="62" y="12"/>
                <a:pt x="68" y="15"/>
              </a:cubicBezTo>
              <a:cubicBezTo>
                <a:pt x="74" y="18"/>
                <a:pt x="80" y="21"/>
                <a:pt x="85" y="24"/>
              </a:cubicBezTo>
              <a:cubicBezTo>
                <a:pt x="90" y="27"/>
                <a:pt x="96" y="31"/>
                <a:pt x="101" y="36"/>
              </a:cubicBezTo>
              <a:cubicBezTo>
                <a:pt x="106" y="41"/>
                <a:pt x="112" y="44"/>
                <a:pt x="118" y="52"/>
              </a:cubicBezTo>
              <a:cubicBezTo>
                <a:pt x="124" y="60"/>
                <a:pt x="132" y="73"/>
                <a:pt x="136" y="82"/>
              </a:cubicBezTo>
              <a:cubicBezTo>
                <a:pt x="140" y="91"/>
                <a:pt x="142" y="98"/>
                <a:pt x="144" y="104"/>
              </a:cubicBezTo>
              <a:cubicBezTo>
                <a:pt x="146" y="110"/>
                <a:pt x="147" y="115"/>
                <a:pt x="148" y="119"/>
              </a:cubicBezTo>
              <a:cubicBezTo>
                <a:pt x="149" y="123"/>
                <a:pt x="149" y="126"/>
                <a:pt x="149" y="131"/>
              </a:cubicBezTo>
              <a:cubicBezTo>
                <a:pt x="149" y="136"/>
                <a:pt x="149" y="142"/>
                <a:pt x="149" y="147"/>
              </a:cubicBezTo>
              <a:cubicBezTo>
                <a:pt x="149" y="152"/>
                <a:pt x="148" y="156"/>
                <a:pt x="147" y="162"/>
              </a:cubicBezTo>
              <a:cubicBezTo>
                <a:pt x="146" y="168"/>
                <a:pt x="147" y="174"/>
                <a:pt x="144" y="182"/>
              </a:cubicBezTo>
              <a:cubicBezTo>
                <a:pt x="141" y="190"/>
                <a:pt x="134" y="205"/>
                <a:pt x="129" y="212"/>
              </a:cubicBezTo>
              <a:cubicBezTo>
                <a:pt x="124" y="219"/>
                <a:pt x="122" y="222"/>
                <a:pt x="116" y="226"/>
              </a:cubicBezTo>
              <a:cubicBezTo>
                <a:pt x="110" y="230"/>
                <a:pt x="98" y="233"/>
                <a:pt x="91" y="234"/>
              </a:cubicBezTo>
              <a:cubicBezTo>
                <a:pt x="84" y="235"/>
                <a:pt x="80" y="233"/>
                <a:pt x="76" y="232"/>
              </a:cubicBezTo>
              <a:cubicBezTo>
                <a:pt x="72" y="231"/>
                <a:pt x="72" y="231"/>
                <a:pt x="66" y="228"/>
              </a:cubicBezTo>
              <a:cubicBezTo>
                <a:pt x="60" y="225"/>
                <a:pt x="50" y="221"/>
                <a:pt x="40" y="213"/>
              </a:cubicBezTo>
              <a:cubicBezTo>
                <a:pt x="30" y="205"/>
                <a:pt x="19" y="192"/>
                <a:pt x="8" y="180"/>
              </a:cubicBezTo>
            </a:path>
          </a:pathLst>
        </a:cu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30</xdr:col>
      <xdr:colOff>155575</xdr:colOff>
      <xdr:row>1</xdr:row>
      <xdr:rowOff>104775</xdr:rowOff>
    </xdr:from>
    <xdr:ext cx="987579" cy="170560"/>
    <xdr:sp macro="" textlink="">
      <xdr:nvSpPr>
        <xdr:cNvPr id="10438" name="Text Box 198">
          <a:extLst>
            <a:ext uri="{FF2B5EF4-FFF2-40B4-BE49-F238E27FC236}">
              <a16:creationId xmlns:a16="http://schemas.microsoft.com/office/drawing/2014/main" id="{9E8F13D3-F47C-B44B-88E1-34DCC6BE56B7}"/>
            </a:ext>
          </a:extLst>
        </xdr:cNvPr>
        <xdr:cNvSpPr txBox="1">
          <a:spLocks noChangeArrowheads="1"/>
        </xdr:cNvSpPr>
      </xdr:nvSpPr>
      <xdr:spPr bwMode="auto">
        <a:xfrm>
          <a:off x="21453475" y="346075"/>
          <a:ext cx="987579"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FF00FF"/>
              </a:solidFill>
              <a:latin typeface="Arial"/>
              <a:cs typeface="Arial"/>
            </a:rPr>
            <a:t>Measured RHCP</a:t>
          </a:r>
        </a:p>
      </xdr:txBody>
    </xdr:sp>
    <xdr:clientData/>
  </xdr:oneCellAnchor>
  <xdr:twoCellAnchor>
    <xdr:from>
      <xdr:col>29</xdr:col>
      <xdr:colOff>279400</xdr:colOff>
      <xdr:row>10</xdr:row>
      <xdr:rowOff>25400</xdr:rowOff>
    </xdr:from>
    <xdr:to>
      <xdr:col>30</xdr:col>
      <xdr:colOff>38100</xdr:colOff>
      <xdr:row>12</xdr:row>
      <xdr:rowOff>63500</xdr:rowOff>
    </xdr:to>
    <xdr:sp macro="" textlink="">
      <xdr:nvSpPr>
        <xdr:cNvPr id="134172" name="Freeform 199">
          <a:extLst>
            <a:ext uri="{FF2B5EF4-FFF2-40B4-BE49-F238E27FC236}">
              <a16:creationId xmlns:a16="http://schemas.microsoft.com/office/drawing/2014/main" id="{33255B19-0AF7-824F-ACC7-982334291018}"/>
            </a:ext>
          </a:extLst>
        </xdr:cNvPr>
        <xdr:cNvSpPr>
          <a:spLocks/>
        </xdr:cNvSpPr>
      </xdr:nvSpPr>
      <xdr:spPr bwMode="auto">
        <a:xfrm>
          <a:off x="20904200" y="1739900"/>
          <a:ext cx="431800" cy="368300"/>
        </a:xfrm>
        <a:custGeom>
          <a:avLst/>
          <a:gdLst>
            <a:gd name="T0" fmla="*/ 0 w 41"/>
            <a:gd name="T1" fmla="*/ 2147483647 h 38"/>
            <a:gd name="T2" fmla="*/ 2147483647 w 41"/>
            <a:gd name="T3" fmla="*/ 2147483647 h 38"/>
            <a:gd name="T4" fmla="*/ 2147483647 w 41"/>
            <a:gd name="T5" fmla="*/ 0 h 38"/>
            <a:gd name="T6" fmla="*/ 2147483647 w 41"/>
            <a:gd name="T7" fmla="*/ 2147483647 h 38"/>
            <a:gd name="T8" fmla="*/ 2147483647 w 41"/>
            <a:gd name="T9" fmla="*/ 2147483647 h 38"/>
            <a:gd name="T10" fmla="*/ 2147483647 w 41"/>
            <a:gd name="T11" fmla="*/ 2147483647 h 38"/>
            <a:gd name="T12" fmla="*/ 2147483647 w 41"/>
            <a:gd name="T13" fmla="*/ 2147483647 h 38"/>
            <a:gd name="T14" fmla="*/ 2147483647 w 41"/>
            <a:gd name="T15" fmla="*/ 2147483647 h 38"/>
            <a:gd name="T16" fmla="*/ 0 60000 65536"/>
            <a:gd name="T17" fmla="*/ 0 60000 65536"/>
            <a:gd name="T18" fmla="*/ 0 60000 65536"/>
            <a:gd name="T19" fmla="*/ 0 60000 65536"/>
            <a:gd name="T20" fmla="*/ 0 60000 65536"/>
            <a:gd name="T21" fmla="*/ 0 60000 65536"/>
            <a:gd name="T22" fmla="*/ 0 60000 65536"/>
            <a:gd name="T23" fmla="*/ 0 60000 65536"/>
            <a:gd name="T24" fmla="*/ 0 w 41"/>
            <a:gd name="T25" fmla="*/ 0 h 38"/>
            <a:gd name="T26" fmla="*/ 41 w 41"/>
            <a:gd name="T27" fmla="*/ 38 h 3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1" h="38">
              <a:moveTo>
                <a:pt x="0" y="32"/>
              </a:moveTo>
              <a:cubicBezTo>
                <a:pt x="2" y="24"/>
                <a:pt x="5" y="17"/>
                <a:pt x="9" y="12"/>
              </a:cubicBezTo>
              <a:cubicBezTo>
                <a:pt x="13" y="7"/>
                <a:pt x="22" y="0"/>
                <a:pt x="27" y="0"/>
              </a:cubicBezTo>
              <a:cubicBezTo>
                <a:pt x="32" y="0"/>
                <a:pt x="37" y="7"/>
                <a:pt x="39" y="12"/>
              </a:cubicBezTo>
              <a:cubicBezTo>
                <a:pt x="41" y="17"/>
                <a:pt x="39" y="25"/>
                <a:pt x="37" y="29"/>
              </a:cubicBezTo>
              <a:cubicBezTo>
                <a:pt x="35" y="33"/>
                <a:pt x="32" y="33"/>
                <a:pt x="29" y="34"/>
              </a:cubicBezTo>
              <a:cubicBezTo>
                <a:pt x="26" y="35"/>
                <a:pt x="26" y="34"/>
                <a:pt x="21" y="35"/>
              </a:cubicBezTo>
              <a:cubicBezTo>
                <a:pt x="16" y="36"/>
                <a:pt x="5" y="37"/>
                <a:pt x="1" y="38"/>
              </a:cubicBezTo>
            </a:path>
          </a:pathLst>
        </a:custGeom>
        <a:noFill/>
        <a:ln w="9525">
          <a:solidFill>
            <a:srgbClr val="FFCC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495300</xdr:colOff>
      <xdr:row>10</xdr:row>
      <xdr:rowOff>25400</xdr:rowOff>
    </xdr:from>
    <xdr:to>
      <xdr:col>29</xdr:col>
      <xdr:colOff>254000</xdr:colOff>
      <xdr:row>12</xdr:row>
      <xdr:rowOff>63500</xdr:rowOff>
    </xdr:to>
    <xdr:sp macro="" textlink="">
      <xdr:nvSpPr>
        <xdr:cNvPr id="134173" name="Freeform 200">
          <a:extLst>
            <a:ext uri="{FF2B5EF4-FFF2-40B4-BE49-F238E27FC236}">
              <a16:creationId xmlns:a16="http://schemas.microsoft.com/office/drawing/2014/main" id="{5EF0EEE5-C6A8-DA49-B431-D0CB1DD250C2}"/>
            </a:ext>
          </a:extLst>
        </xdr:cNvPr>
        <xdr:cNvSpPr>
          <a:spLocks/>
        </xdr:cNvSpPr>
      </xdr:nvSpPr>
      <xdr:spPr bwMode="auto">
        <a:xfrm flipH="1">
          <a:off x="20447000" y="1739900"/>
          <a:ext cx="431800" cy="368300"/>
        </a:xfrm>
        <a:custGeom>
          <a:avLst/>
          <a:gdLst>
            <a:gd name="T0" fmla="*/ 0 w 41"/>
            <a:gd name="T1" fmla="*/ 2147483647 h 38"/>
            <a:gd name="T2" fmla="*/ 2147483647 w 41"/>
            <a:gd name="T3" fmla="*/ 2147483647 h 38"/>
            <a:gd name="T4" fmla="*/ 2147483647 w 41"/>
            <a:gd name="T5" fmla="*/ 0 h 38"/>
            <a:gd name="T6" fmla="*/ 2147483647 w 41"/>
            <a:gd name="T7" fmla="*/ 2147483647 h 38"/>
            <a:gd name="T8" fmla="*/ 2147483647 w 41"/>
            <a:gd name="T9" fmla="*/ 2147483647 h 38"/>
            <a:gd name="T10" fmla="*/ 2147483647 w 41"/>
            <a:gd name="T11" fmla="*/ 2147483647 h 38"/>
            <a:gd name="T12" fmla="*/ 2147483647 w 41"/>
            <a:gd name="T13" fmla="*/ 2147483647 h 38"/>
            <a:gd name="T14" fmla="*/ 2147483647 w 41"/>
            <a:gd name="T15" fmla="*/ 2147483647 h 38"/>
            <a:gd name="T16" fmla="*/ 0 60000 65536"/>
            <a:gd name="T17" fmla="*/ 0 60000 65536"/>
            <a:gd name="T18" fmla="*/ 0 60000 65536"/>
            <a:gd name="T19" fmla="*/ 0 60000 65536"/>
            <a:gd name="T20" fmla="*/ 0 60000 65536"/>
            <a:gd name="T21" fmla="*/ 0 60000 65536"/>
            <a:gd name="T22" fmla="*/ 0 60000 65536"/>
            <a:gd name="T23" fmla="*/ 0 60000 65536"/>
            <a:gd name="T24" fmla="*/ 0 w 41"/>
            <a:gd name="T25" fmla="*/ 0 h 38"/>
            <a:gd name="T26" fmla="*/ 41 w 41"/>
            <a:gd name="T27" fmla="*/ 38 h 3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1" h="38">
              <a:moveTo>
                <a:pt x="0" y="32"/>
              </a:moveTo>
              <a:cubicBezTo>
                <a:pt x="2" y="24"/>
                <a:pt x="5" y="17"/>
                <a:pt x="9" y="12"/>
              </a:cubicBezTo>
              <a:cubicBezTo>
                <a:pt x="13" y="7"/>
                <a:pt x="22" y="0"/>
                <a:pt x="27" y="0"/>
              </a:cubicBezTo>
              <a:cubicBezTo>
                <a:pt x="32" y="0"/>
                <a:pt x="37" y="7"/>
                <a:pt x="39" y="12"/>
              </a:cubicBezTo>
              <a:cubicBezTo>
                <a:pt x="41" y="17"/>
                <a:pt x="39" y="25"/>
                <a:pt x="37" y="29"/>
              </a:cubicBezTo>
              <a:cubicBezTo>
                <a:pt x="35" y="33"/>
                <a:pt x="32" y="33"/>
                <a:pt x="29" y="34"/>
              </a:cubicBezTo>
              <a:cubicBezTo>
                <a:pt x="26" y="35"/>
                <a:pt x="26" y="34"/>
                <a:pt x="21" y="35"/>
              </a:cubicBezTo>
              <a:cubicBezTo>
                <a:pt x="16" y="36"/>
                <a:pt x="5" y="37"/>
                <a:pt x="1" y="38"/>
              </a:cubicBezTo>
            </a:path>
          </a:pathLst>
        </a:custGeom>
        <a:noFill/>
        <a:ln w="9525">
          <a:solidFill>
            <a:srgbClr val="FFCC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76200</xdr:colOff>
      <xdr:row>12</xdr:row>
      <xdr:rowOff>63500</xdr:rowOff>
    </xdr:from>
    <xdr:to>
      <xdr:col>29</xdr:col>
      <xdr:colOff>406400</xdr:colOff>
      <xdr:row>14</xdr:row>
      <xdr:rowOff>88900</xdr:rowOff>
    </xdr:to>
    <xdr:sp macro="" textlink="">
      <xdr:nvSpPr>
        <xdr:cNvPr id="134174" name="Freeform 201">
          <a:extLst>
            <a:ext uri="{FF2B5EF4-FFF2-40B4-BE49-F238E27FC236}">
              <a16:creationId xmlns:a16="http://schemas.microsoft.com/office/drawing/2014/main" id="{BE1B601B-FEAC-F640-97B1-5BD0905F0E09}"/>
            </a:ext>
          </a:extLst>
        </xdr:cNvPr>
        <xdr:cNvSpPr>
          <a:spLocks/>
        </xdr:cNvSpPr>
      </xdr:nvSpPr>
      <xdr:spPr bwMode="auto">
        <a:xfrm>
          <a:off x="20701000" y="2108200"/>
          <a:ext cx="330200" cy="355600"/>
        </a:xfrm>
        <a:custGeom>
          <a:avLst/>
          <a:gdLst>
            <a:gd name="T0" fmla="*/ 2147483647 w 32"/>
            <a:gd name="T1" fmla="*/ 2147483647 h 36"/>
            <a:gd name="T2" fmla="*/ 2147483647 w 32"/>
            <a:gd name="T3" fmla="*/ 2147483647 h 36"/>
            <a:gd name="T4" fmla="*/ 2147483647 w 32"/>
            <a:gd name="T5" fmla="*/ 2147483647 h 36"/>
            <a:gd name="T6" fmla="*/ 2147483647 w 32"/>
            <a:gd name="T7" fmla="*/ 2147483647 h 36"/>
            <a:gd name="T8" fmla="*/ 2147483647 w 32"/>
            <a:gd name="T9" fmla="*/ 2147483647 h 36"/>
            <a:gd name="T10" fmla="*/ 0 w 32"/>
            <a:gd name="T11" fmla="*/ 2147483647 h 36"/>
            <a:gd name="T12" fmla="*/ 2147483647 w 32"/>
            <a:gd name="T13" fmla="*/ 2147483647 h 36"/>
            <a:gd name="T14" fmla="*/ 2147483647 w 32"/>
            <a:gd name="T15" fmla="*/ 2147483647 h 36"/>
            <a:gd name="T16" fmla="*/ 0 60000 65536"/>
            <a:gd name="T17" fmla="*/ 0 60000 65536"/>
            <a:gd name="T18" fmla="*/ 0 60000 65536"/>
            <a:gd name="T19" fmla="*/ 0 60000 65536"/>
            <a:gd name="T20" fmla="*/ 0 60000 65536"/>
            <a:gd name="T21" fmla="*/ 0 60000 65536"/>
            <a:gd name="T22" fmla="*/ 0 60000 65536"/>
            <a:gd name="T23" fmla="*/ 0 60000 65536"/>
            <a:gd name="T24" fmla="*/ 0 w 32"/>
            <a:gd name="T25" fmla="*/ 0 h 36"/>
            <a:gd name="T26" fmla="*/ 32 w 32"/>
            <a:gd name="T27" fmla="*/ 36 h 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2" h="36">
              <a:moveTo>
                <a:pt x="18" y="1"/>
              </a:moveTo>
              <a:cubicBezTo>
                <a:pt x="22" y="2"/>
                <a:pt x="30" y="7"/>
                <a:pt x="31" y="12"/>
              </a:cubicBezTo>
              <a:cubicBezTo>
                <a:pt x="32" y="17"/>
                <a:pt x="29" y="27"/>
                <a:pt x="27" y="31"/>
              </a:cubicBezTo>
              <a:cubicBezTo>
                <a:pt x="25" y="35"/>
                <a:pt x="21" y="35"/>
                <a:pt x="17" y="35"/>
              </a:cubicBezTo>
              <a:cubicBezTo>
                <a:pt x="13" y="35"/>
                <a:pt x="7" y="36"/>
                <a:pt x="4" y="33"/>
              </a:cubicBezTo>
              <a:cubicBezTo>
                <a:pt x="1" y="30"/>
                <a:pt x="0" y="22"/>
                <a:pt x="0" y="18"/>
              </a:cubicBezTo>
              <a:cubicBezTo>
                <a:pt x="0" y="14"/>
                <a:pt x="3" y="9"/>
                <a:pt x="6" y="6"/>
              </a:cubicBezTo>
              <a:cubicBezTo>
                <a:pt x="9" y="3"/>
                <a:pt x="14" y="0"/>
                <a:pt x="18" y="1"/>
              </a:cubicBezTo>
              <a:close/>
            </a:path>
          </a:pathLst>
        </a:custGeom>
        <a:noFill/>
        <a:ln w="9525">
          <a:solidFill>
            <a:srgbClr val="FFCC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30</xdr:col>
      <xdr:colOff>88900</xdr:colOff>
      <xdr:row>18</xdr:row>
      <xdr:rowOff>9525</xdr:rowOff>
    </xdr:from>
    <xdr:ext cx="1008867" cy="318036"/>
    <xdr:sp macro="" textlink="">
      <xdr:nvSpPr>
        <xdr:cNvPr id="10442" name="Text Box 202">
          <a:extLst>
            <a:ext uri="{FF2B5EF4-FFF2-40B4-BE49-F238E27FC236}">
              <a16:creationId xmlns:a16="http://schemas.microsoft.com/office/drawing/2014/main" id="{B93F6659-69C7-7649-B1B4-2228D578C10B}"/>
            </a:ext>
          </a:extLst>
        </xdr:cNvPr>
        <xdr:cNvSpPr txBox="1">
          <a:spLocks noChangeArrowheads="1"/>
        </xdr:cNvSpPr>
      </xdr:nvSpPr>
      <xdr:spPr bwMode="auto">
        <a:xfrm>
          <a:off x="21386800" y="3044825"/>
          <a:ext cx="1008867" cy="318036"/>
        </a:xfrm>
        <a:prstGeom prst="rect">
          <a:avLst/>
        </a:prstGeom>
        <a:noFill/>
        <a:ln w="9525">
          <a:noFill/>
          <a:miter lim="800000"/>
          <a:headEnd/>
          <a:tailEnd/>
        </a:ln>
      </xdr:spPr>
      <xdr:txBody>
        <a:bodyPr wrap="none" lIns="18288" tIns="22860" rIns="0" bIns="0" anchor="t" upright="1">
          <a:spAutoFit/>
        </a:bodyPr>
        <a:lstStyle/>
        <a:p>
          <a:pPr algn="l" rtl="1">
            <a:lnSpc>
              <a:spcPts val="1100"/>
            </a:lnSpc>
            <a:defRPr sz="1000"/>
          </a:pPr>
          <a:r>
            <a:rPr lang="en-US" sz="1000" b="0" i="0" strike="noStrike">
              <a:solidFill>
                <a:srgbClr val="FF9900"/>
              </a:solidFill>
              <a:latin typeface="Arial"/>
              <a:cs typeface="Arial"/>
            </a:rPr>
            <a:t>Measured</a:t>
          </a:r>
          <a:r>
            <a:rPr lang="en-US" sz="1000" b="0" i="0" strike="noStrike">
              <a:solidFill>
                <a:srgbClr val="000000"/>
              </a:solidFill>
              <a:latin typeface="Arial"/>
              <a:cs typeface="Arial"/>
            </a:rPr>
            <a:t> </a:t>
          </a:r>
          <a:r>
            <a:rPr lang="en-US" sz="1000" b="0" i="0" strike="noStrike">
              <a:solidFill>
                <a:srgbClr val="FF9900"/>
              </a:solidFill>
              <a:latin typeface="Arial"/>
              <a:cs typeface="Arial"/>
            </a:rPr>
            <a:t>LHCP</a:t>
          </a:r>
          <a:endParaRPr lang="en-US" sz="1000" b="0" i="0" strike="noStrike">
            <a:solidFill>
              <a:srgbClr val="000000"/>
            </a:solidFill>
            <a:latin typeface="Arial"/>
            <a:cs typeface="Arial"/>
          </a:endParaRPr>
        </a:p>
        <a:p>
          <a:pPr algn="l" rtl="1">
            <a:lnSpc>
              <a:spcPts val="1100"/>
            </a:lnSpc>
            <a:defRPr sz="1000"/>
          </a:pPr>
          <a:r>
            <a:rPr lang="en-US" sz="1000" b="0" i="0" strike="noStrike">
              <a:solidFill>
                <a:srgbClr val="FF9900"/>
              </a:solidFill>
              <a:latin typeface="Arial"/>
              <a:cs typeface="Arial"/>
            </a:rPr>
            <a:t>(Cross</a:t>
          </a:r>
          <a:r>
            <a:rPr lang="en-US" sz="1000" b="0" i="0" strike="noStrike">
              <a:solidFill>
                <a:srgbClr val="000000"/>
              </a:solidFill>
              <a:latin typeface="Arial"/>
              <a:cs typeface="Arial"/>
            </a:rPr>
            <a:t> </a:t>
          </a:r>
          <a:r>
            <a:rPr lang="en-US" sz="1000" b="0" i="0" strike="noStrike">
              <a:solidFill>
                <a:srgbClr val="FF9900"/>
              </a:solidFill>
              <a:latin typeface="Arial"/>
              <a:cs typeface="Arial"/>
            </a:rPr>
            <a:t>Polarized)</a:t>
          </a:r>
        </a:p>
      </xdr:txBody>
    </xdr:sp>
    <xdr:clientData/>
  </xdr:oneCellAnchor>
  <xdr:twoCellAnchor>
    <xdr:from>
      <xdr:col>29</xdr:col>
      <xdr:colOff>317500</xdr:colOff>
      <xdr:row>14</xdr:row>
      <xdr:rowOff>88900</xdr:rowOff>
    </xdr:from>
    <xdr:to>
      <xdr:col>30</xdr:col>
      <xdr:colOff>114300</xdr:colOff>
      <xdr:row>18</xdr:row>
      <xdr:rowOff>25400</xdr:rowOff>
    </xdr:to>
    <xdr:sp macro="" textlink="">
      <xdr:nvSpPr>
        <xdr:cNvPr id="134176" name="Line 203">
          <a:extLst>
            <a:ext uri="{FF2B5EF4-FFF2-40B4-BE49-F238E27FC236}">
              <a16:creationId xmlns:a16="http://schemas.microsoft.com/office/drawing/2014/main" id="{47ECB579-4875-C64D-A45D-8008289B789A}"/>
            </a:ext>
          </a:extLst>
        </xdr:cNvPr>
        <xdr:cNvSpPr>
          <a:spLocks noChangeShapeType="1"/>
        </xdr:cNvSpPr>
      </xdr:nvSpPr>
      <xdr:spPr bwMode="auto">
        <a:xfrm flipH="1" flipV="1">
          <a:off x="20942300" y="2463800"/>
          <a:ext cx="469900" cy="596900"/>
        </a:xfrm>
        <a:prstGeom prst="line">
          <a:avLst/>
        </a:prstGeom>
        <a:noFill/>
        <a:ln w="9525">
          <a:solidFill>
            <a:srgbClr val="FF99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266700</xdr:colOff>
      <xdr:row>6</xdr:row>
      <xdr:rowOff>139700</xdr:rowOff>
    </xdr:from>
    <xdr:to>
      <xdr:col>44</xdr:col>
      <xdr:colOff>266700</xdr:colOff>
      <xdr:row>9</xdr:row>
      <xdr:rowOff>63500</xdr:rowOff>
    </xdr:to>
    <xdr:sp macro="" textlink="">
      <xdr:nvSpPr>
        <xdr:cNvPr id="134177" name="Line 204">
          <a:extLst>
            <a:ext uri="{FF2B5EF4-FFF2-40B4-BE49-F238E27FC236}">
              <a16:creationId xmlns:a16="http://schemas.microsoft.com/office/drawing/2014/main" id="{E55BEA69-D052-E243-A727-DF31F481A948}"/>
            </a:ext>
          </a:extLst>
        </xdr:cNvPr>
        <xdr:cNvSpPr>
          <a:spLocks noChangeShapeType="1"/>
        </xdr:cNvSpPr>
      </xdr:nvSpPr>
      <xdr:spPr bwMode="auto">
        <a:xfrm flipV="1">
          <a:off x="30988000" y="1193800"/>
          <a:ext cx="0" cy="419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304800</xdr:colOff>
      <xdr:row>32</xdr:row>
      <xdr:rowOff>38100</xdr:rowOff>
    </xdr:from>
    <xdr:to>
      <xdr:col>44</xdr:col>
      <xdr:colOff>304800</xdr:colOff>
      <xdr:row>34</xdr:row>
      <xdr:rowOff>63500</xdr:rowOff>
    </xdr:to>
    <xdr:sp macro="" textlink="">
      <xdr:nvSpPr>
        <xdr:cNvPr id="134178" name="Line 205">
          <a:extLst>
            <a:ext uri="{FF2B5EF4-FFF2-40B4-BE49-F238E27FC236}">
              <a16:creationId xmlns:a16="http://schemas.microsoft.com/office/drawing/2014/main" id="{3FDB3A3B-1306-7445-B31E-44BF75019C85}"/>
            </a:ext>
          </a:extLst>
        </xdr:cNvPr>
        <xdr:cNvSpPr>
          <a:spLocks noChangeShapeType="1"/>
        </xdr:cNvSpPr>
      </xdr:nvSpPr>
      <xdr:spPr bwMode="auto">
        <a:xfrm>
          <a:off x="31026100" y="5600700"/>
          <a:ext cx="0" cy="355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43</xdr:col>
      <xdr:colOff>536575</xdr:colOff>
      <xdr:row>5</xdr:row>
      <xdr:rowOff>85725</xdr:rowOff>
    </xdr:from>
    <xdr:ext cx="788165" cy="170560"/>
    <xdr:sp macro="" textlink="">
      <xdr:nvSpPr>
        <xdr:cNvPr id="10446" name="Text Box 206">
          <a:extLst>
            <a:ext uri="{FF2B5EF4-FFF2-40B4-BE49-F238E27FC236}">
              <a16:creationId xmlns:a16="http://schemas.microsoft.com/office/drawing/2014/main" id="{325B9629-4FD7-2A48-8845-CAF7AA1D5BC8}"/>
            </a:ext>
          </a:extLst>
        </xdr:cNvPr>
        <xdr:cNvSpPr txBox="1">
          <a:spLocks noChangeArrowheads="1"/>
        </xdr:cNvSpPr>
      </xdr:nvSpPr>
      <xdr:spPr bwMode="auto">
        <a:xfrm>
          <a:off x="30584775" y="974725"/>
          <a:ext cx="78816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Spacecraft -Z</a:t>
          </a:r>
        </a:p>
      </xdr:txBody>
    </xdr:sp>
    <xdr:clientData/>
  </xdr:oneCellAnchor>
  <xdr:oneCellAnchor>
    <xdr:from>
      <xdr:col>43</xdr:col>
      <xdr:colOff>555625</xdr:colOff>
      <xdr:row>34</xdr:row>
      <xdr:rowOff>117475</xdr:rowOff>
    </xdr:from>
    <xdr:ext cx="820354" cy="170560"/>
    <xdr:sp macro="" textlink="">
      <xdr:nvSpPr>
        <xdr:cNvPr id="10447" name="Text Box 207">
          <a:extLst>
            <a:ext uri="{FF2B5EF4-FFF2-40B4-BE49-F238E27FC236}">
              <a16:creationId xmlns:a16="http://schemas.microsoft.com/office/drawing/2014/main" id="{531EA614-1702-C14B-BEE9-450C51302BE2}"/>
            </a:ext>
          </a:extLst>
        </xdr:cNvPr>
        <xdr:cNvSpPr txBox="1">
          <a:spLocks noChangeArrowheads="1"/>
        </xdr:cNvSpPr>
      </xdr:nvSpPr>
      <xdr:spPr bwMode="auto">
        <a:xfrm>
          <a:off x="30603825" y="6010275"/>
          <a:ext cx="820354"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Spacecraft +Z</a:t>
          </a:r>
        </a:p>
      </xdr:txBody>
    </xdr:sp>
    <xdr:clientData/>
  </xdr:oneCellAnchor>
  <xdr:twoCellAnchor>
    <xdr:from>
      <xdr:col>47</xdr:col>
      <xdr:colOff>254000</xdr:colOff>
      <xdr:row>20</xdr:row>
      <xdr:rowOff>127000</xdr:rowOff>
    </xdr:from>
    <xdr:to>
      <xdr:col>48</xdr:col>
      <xdr:colOff>254000</xdr:colOff>
      <xdr:row>20</xdr:row>
      <xdr:rowOff>127000</xdr:rowOff>
    </xdr:to>
    <xdr:sp macro="" textlink="">
      <xdr:nvSpPr>
        <xdr:cNvPr id="134181" name="Line 208">
          <a:extLst>
            <a:ext uri="{FF2B5EF4-FFF2-40B4-BE49-F238E27FC236}">
              <a16:creationId xmlns:a16="http://schemas.microsoft.com/office/drawing/2014/main" id="{1F02345D-FB49-4242-B9E9-79F35481AE36}"/>
            </a:ext>
          </a:extLst>
        </xdr:cNvPr>
        <xdr:cNvSpPr>
          <a:spLocks noChangeShapeType="1"/>
        </xdr:cNvSpPr>
      </xdr:nvSpPr>
      <xdr:spPr bwMode="auto">
        <a:xfrm>
          <a:off x="32994600" y="3492500"/>
          <a:ext cx="673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48</xdr:col>
      <xdr:colOff>301625</xdr:colOff>
      <xdr:row>20</xdr:row>
      <xdr:rowOff>28575</xdr:rowOff>
    </xdr:from>
    <xdr:ext cx="827535" cy="170560"/>
    <xdr:sp macro="" textlink="">
      <xdr:nvSpPr>
        <xdr:cNvPr id="10449" name="Text Box 209">
          <a:extLst>
            <a:ext uri="{FF2B5EF4-FFF2-40B4-BE49-F238E27FC236}">
              <a16:creationId xmlns:a16="http://schemas.microsoft.com/office/drawing/2014/main" id="{5D8CD9F6-F55B-7A46-BBF4-9B65E109A78D}"/>
            </a:ext>
          </a:extLst>
        </xdr:cNvPr>
        <xdr:cNvSpPr txBox="1">
          <a:spLocks noChangeArrowheads="1"/>
        </xdr:cNvSpPr>
      </xdr:nvSpPr>
      <xdr:spPr bwMode="auto">
        <a:xfrm>
          <a:off x="33715325" y="3394075"/>
          <a:ext cx="82753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Spacecraft +X</a:t>
          </a:r>
        </a:p>
      </xdr:txBody>
    </xdr:sp>
    <xdr:clientData/>
  </xdr:oneCellAnchor>
  <xdr:twoCellAnchor>
    <xdr:from>
      <xdr:col>40</xdr:col>
      <xdr:colOff>241300</xdr:colOff>
      <xdr:row>20</xdr:row>
      <xdr:rowOff>139700</xdr:rowOff>
    </xdr:from>
    <xdr:to>
      <xdr:col>41</xdr:col>
      <xdr:colOff>215900</xdr:colOff>
      <xdr:row>20</xdr:row>
      <xdr:rowOff>139700</xdr:rowOff>
    </xdr:to>
    <xdr:sp macro="" textlink="">
      <xdr:nvSpPr>
        <xdr:cNvPr id="134183" name="Line 210">
          <a:extLst>
            <a:ext uri="{FF2B5EF4-FFF2-40B4-BE49-F238E27FC236}">
              <a16:creationId xmlns:a16="http://schemas.microsoft.com/office/drawing/2014/main" id="{BB537088-CC55-5548-9697-9396135EF345}"/>
            </a:ext>
          </a:extLst>
        </xdr:cNvPr>
        <xdr:cNvSpPr>
          <a:spLocks noChangeShapeType="1"/>
        </xdr:cNvSpPr>
      </xdr:nvSpPr>
      <xdr:spPr bwMode="auto">
        <a:xfrm flipH="1">
          <a:off x="28270200" y="3505200"/>
          <a:ext cx="647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38</xdr:col>
      <xdr:colOff>663575</xdr:colOff>
      <xdr:row>20</xdr:row>
      <xdr:rowOff>76200</xdr:rowOff>
    </xdr:from>
    <xdr:ext cx="795347" cy="170560"/>
    <xdr:sp macro="" textlink="">
      <xdr:nvSpPr>
        <xdr:cNvPr id="10451" name="Text Box 211">
          <a:extLst>
            <a:ext uri="{FF2B5EF4-FFF2-40B4-BE49-F238E27FC236}">
              <a16:creationId xmlns:a16="http://schemas.microsoft.com/office/drawing/2014/main" id="{CBEA9F6A-104C-1E4F-98C8-51F176CBD832}"/>
            </a:ext>
          </a:extLst>
        </xdr:cNvPr>
        <xdr:cNvSpPr txBox="1">
          <a:spLocks noChangeArrowheads="1"/>
        </xdr:cNvSpPr>
      </xdr:nvSpPr>
      <xdr:spPr bwMode="auto">
        <a:xfrm>
          <a:off x="27346275" y="3441700"/>
          <a:ext cx="795347"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Spacecraft -X</a:t>
          </a:r>
        </a:p>
      </xdr:txBody>
    </xdr:sp>
    <xdr:clientData/>
  </xdr:oneCellAnchor>
  <xdr:oneCellAnchor>
    <xdr:from>
      <xdr:col>36</xdr:col>
      <xdr:colOff>419100</xdr:colOff>
      <xdr:row>1</xdr:row>
      <xdr:rowOff>104775</xdr:rowOff>
    </xdr:from>
    <xdr:ext cx="987579" cy="170560"/>
    <xdr:sp macro="" textlink="">
      <xdr:nvSpPr>
        <xdr:cNvPr id="10452" name="Text Box 212">
          <a:extLst>
            <a:ext uri="{FF2B5EF4-FFF2-40B4-BE49-F238E27FC236}">
              <a16:creationId xmlns:a16="http://schemas.microsoft.com/office/drawing/2014/main" id="{40CD78D0-AB97-234D-97A0-5780935B56FF}"/>
            </a:ext>
          </a:extLst>
        </xdr:cNvPr>
        <xdr:cNvSpPr txBox="1">
          <a:spLocks noChangeArrowheads="1"/>
        </xdr:cNvSpPr>
      </xdr:nvSpPr>
      <xdr:spPr bwMode="auto">
        <a:xfrm>
          <a:off x="25755600" y="346075"/>
          <a:ext cx="987579"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FF00FF"/>
              </a:solidFill>
              <a:latin typeface="Arial"/>
              <a:cs typeface="Arial"/>
            </a:rPr>
            <a:t>Measured</a:t>
          </a:r>
          <a:r>
            <a:rPr lang="en-US" sz="1000" b="0" i="0" strike="noStrike">
              <a:solidFill>
                <a:srgbClr val="000000"/>
              </a:solidFill>
              <a:latin typeface="Arial"/>
              <a:cs typeface="Arial"/>
            </a:rPr>
            <a:t> </a:t>
          </a:r>
          <a:r>
            <a:rPr lang="en-US" sz="1000" b="0" i="0" strike="noStrike">
              <a:solidFill>
                <a:srgbClr val="FF00FF"/>
              </a:solidFill>
              <a:latin typeface="Arial"/>
              <a:cs typeface="Arial"/>
            </a:rPr>
            <a:t>RHCP</a:t>
          </a:r>
        </a:p>
      </xdr:txBody>
    </xdr:sp>
    <xdr:clientData/>
  </xdr:oneCellAnchor>
  <xdr:twoCellAnchor>
    <xdr:from>
      <xdr:col>20</xdr:col>
      <xdr:colOff>660400</xdr:colOff>
      <xdr:row>57</xdr:row>
      <xdr:rowOff>203200</xdr:rowOff>
    </xdr:from>
    <xdr:to>
      <xdr:col>21</xdr:col>
      <xdr:colOff>368300</xdr:colOff>
      <xdr:row>58</xdr:row>
      <xdr:rowOff>177800</xdr:rowOff>
    </xdr:to>
    <xdr:sp macro="" textlink="">
      <xdr:nvSpPr>
        <xdr:cNvPr id="134186" name="Line 218">
          <a:extLst>
            <a:ext uri="{FF2B5EF4-FFF2-40B4-BE49-F238E27FC236}">
              <a16:creationId xmlns:a16="http://schemas.microsoft.com/office/drawing/2014/main" id="{18F7A3DD-37B8-C344-B158-52D8A1EBD7E0}"/>
            </a:ext>
          </a:extLst>
        </xdr:cNvPr>
        <xdr:cNvSpPr>
          <a:spLocks noChangeShapeType="1"/>
        </xdr:cNvSpPr>
      </xdr:nvSpPr>
      <xdr:spPr bwMode="auto">
        <a:xfrm flipH="1">
          <a:off x="15227300" y="11734800"/>
          <a:ext cx="381000" cy="279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21</xdr:col>
      <xdr:colOff>387350</xdr:colOff>
      <xdr:row>57</xdr:row>
      <xdr:rowOff>95250</xdr:rowOff>
    </xdr:from>
    <xdr:ext cx="1515159" cy="318036"/>
    <xdr:sp macro="" textlink="">
      <xdr:nvSpPr>
        <xdr:cNvPr id="10459" name="Text Box 219">
          <a:extLst>
            <a:ext uri="{FF2B5EF4-FFF2-40B4-BE49-F238E27FC236}">
              <a16:creationId xmlns:a16="http://schemas.microsoft.com/office/drawing/2014/main" id="{B6BF4ABF-E4DF-8A4F-A61D-383D60095723}"/>
            </a:ext>
          </a:extLst>
        </xdr:cNvPr>
        <xdr:cNvSpPr txBox="1">
          <a:spLocks noChangeArrowheads="1"/>
        </xdr:cNvSpPr>
      </xdr:nvSpPr>
      <xdr:spPr bwMode="auto">
        <a:xfrm>
          <a:off x="15627350" y="11626850"/>
          <a:ext cx="1515159" cy="318036"/>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Intermediate Calculation - </a:t>
          </a:r>
        </a:p>
        <a:p>
          <a:pPr algn="l" rtl="1">
            <a:defRPr sz="1000"/>
          </a:pPr>
          <a:r>
            <a:rPr lang="en-US" sz="1000" b="0" i="0" strike="noStrike">
              <a:solidFill>
                <a:srgbClr val="000000"/>
              </a:solidFill>
              <a:latin typeface="Arial"/>
              <a:cs typeface="Arial"/>
            </a:rPr>
            <a:t>Please Ignore This Value.</a:t>
          </a:r>
        </a:p>
      </xdr:txBody>
    </xdr:sp>
    <xdr:clientData/>
  </xdr:oneCellAnchor>
  <xdr:twoCellAnchor>
    <xdr:from>
      <xdr:col>19</xdr:col>
      <xdr:colOff>12700</xdr:colOff>
      <xdr:row>81</xdr:row>
      <xdr:rowOff>165100</xdr:rowOff>
    </xdr:from>
    <xdr:to>
      <xdr:col>20</xdr:col>
      <xdr:colOff>0</xdr:colOff>
      <xdr:row>81</xdr:row>
      <xdr:rowOff>165100</xdr:rowOff>
    </xdr:to>
    <xdr:sp macro="" textlink="">
      <xdr:nvSpPr>
        <xdr:cNvPr id="134188" name="Line 220">
          <a:extLst>
            <a:ext uri="{FF2B5EF4-FFF2-40B4-BE49-F238E27FC236}">
              <a16:creationId xmlns:a16="http://schemas.microsoft.com/office/drawing/2014/main" id="{219F184D-015F-9549-AC2D-030DD1907E54}"/>
            </a:ext>
          </a:extLst>
        </xdr:cNvPr>
        <xdr:cNvSpPr>
          <a:spLocks noChangeShapeType="1"/>
        </xdr:cNvSpPr>
      </xdr:nvSpPr>
      <xdr:spPr bwMode="auto">
        <a:xfrm flipH="1">
          <a:off x="13906500" y="17068800"/>
          <a:ext cx="660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660400</xdr:colOff>
      <xdr:row>79</xdr:row>
      <xdr:rowOff>203200</xdr:rowOff>
    </xdr:from>
    <xdr:to>
      <xdr:col>21</xdr:col>
      <xdr:colOff>368300</xdr:colOff>
      <xdr:row>80</xdr:row>
      <xdr:rowOff>177800</xdr:rowOff>
    </xdr:to>
    <xdr:sp macro="" textlink="">
      <xdr:nvSpPr>
        <xdr:cNvPr id="134189" name="Line 221">
          <a:extLst>
            <a:ext uri="{FF2B5EF4-FFF2-40B4-BE49-F238E27FC236}">
              <a16:creationId xmlns:a16="http://schemas.microsoft.com/office/drawing/2014/main" id="{F1372651-B794-0B47-89E7-2048B2F483B6}"/>
            </a:ext>
          </a:extLst>
        </xdr:cNvPr>
        <xdr:cNvSpPr>
          <a:spLocks noChangeShapeType="1"/>
        </xdr:cNvSpPr>
      </xdr:nvSpPr>
      <xdr:spPr bwMode="auto">
        <a:xfrm flipH="1">
          <a:off x="15227300" y="16497300"/>
          <a:ext cx="381000" cy="279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21</xdr:col>
      <xdr:colOff>387350</xdr:colOff>
      <xdr:row>79</xdr:row>
      <xdr:rowOff>95250</xdr:rowOff>
    </xdr:from>
    <xdr:ext cx="1515159" cy="318036"/>
    <xdr:sp macro="" textlink="">
      <xdr:nvSpPr>
        <xdr:cNvPr id="10462" name="Text Box 222">
          <a:extLst>
            <a:ext uri="{FF2B5EF4-FFF2-40B4-BE49-F238E27FC236}">
              <a16:creationId xmlns:a16="http://schemas.microsoft.com/office/drawing/2014/main" id="{0D594179-CF96-4941-88FF-9458ADA1AE87}"/>
            </a:ext>
          </a:extLst>
        </xdr:cNvPr>
        <xdr:cNvSpPr txBox="1">
          <a:spLocks noChangeArrowheads="1"/>
        </xdr:cNvSpPr>
      </xdr:nvSpPr>
      <xdr:spPr bwMode="auto">
        <a:xfrm>
          <a:off x="15627350" y="16389350"/>
          <a:ext cx="1515159" cy="318036"/>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Intermediate Calculation - </a:t>
          </a:r>
        </a:p>
        <a:p>
          <a:pPr algn="l" rtl="1">
            <a:defRPr sz="1000"/>
          </a:pPr>
          <a:r>
            <a:rPr lang="en-US" sz="1000" b="0" i="0" strike="noStrike">
              <a:solidFill>
                <a:srgbClr val="000000"/>
              </a:solidFill>
              <a:latin typeface="Arial"/>
              <a:cs typeface="Arial"/>
            </a:rPr>
            <a:t>Please Ignore This Value.</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0.5</cdr:x>
      <cdr:y>0.48547</cdr:y>
    </cdr:from>
    <cdr:to>
      <cdr:x>0.52613</cdr:x>
      <cdr:y>0.52416</cdr:y>
    </cdr:to>
    <cdr:sp macro="" textlink="">
      <cdr:nvSpPr>
        <cdr:cNvPr id="14337" name="Text Box 1"/>
        <cdr:cNvSpPr txBox="1">
          <a:spLocks xmlns:a="http://schemas.openxmlformats.org/drawingml/2006/main" noChangeArrowheads="1"/>
        </cdr:cNvSpPr>
      </cdr:nvSpPr>
      <cdr:spPr bwMode="auto">
        <a:xfrm xmlns:a="http://schemas.openxmlformats.org/drawingml/2006/main">
          <a:off x="3432175" y="3343333"/>
          <a:ext cx="184285" cy="2468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sz="1475" b="0" i="0" strike="noStrike">
              <a:solidFill>
                <a:srgbClr val="000000"/>
              </a:solidFill>
              <a:latin typeface="Arial"/>
              <a:cs typeface="Arial"/>
            </a:rPr>
            <a:t>y</a:t>
          </a: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657225</xdr:colOff>
      <xdr:row>7</xdr:row>
      <xdr:rowOff>38100</xdr:rowOff>
    </xdr:from>
    <xdr:to>
      <xdr:col>11</xdr:col>
      <xdr:colOff>672940</xdr:colOff>
      <xdr:row>14</xdr:row>
      <xdr:rowOff>114300</xdr:rowOff>
    </xdr:to>
    <xdr:sp macro="" textlink="">
      <xdr:nvSpPr>
        <xdr:cNvPr id="6145" name="Oval 1">
          <a:extLst>
            <a:ext uri="{FF2B5EF4-FFF2-40B4-BE49-F238E27FC236}">
              <a16:creationId xmlns:a16="http://schemas.microsoft.com/office/drawing/2014/main" id="{0EF51143-04E9-1C4D-9C94-39CC95AF16EA}"/>
            </a:ext>
          </a:extLst>
        </xdr:cNvPr>
        <xdr:cNvSpPr>
          <a:spLocks noChangeArrowheads="1"/>
        </xdr:cNvSpPr>
      </xdr:nvSpPr>
      <xdr:spPr bwMode="auto">
        <a:xfrm>
          <a:off x="6076950" y="1247775"/>
          <a:ext cx="1295400" cy="1209675"/>
        </a:xfrm>
        <a:prstGeom prst="ellipse">
          <a:avLst/>
        </a:prstGeom>
        <a:solidFill>
          <a:srgbClr val="FFFFFF"/>
        </a:solidFill>
        <a:ln w="28575">
          <a:solidFill>
            <a:srgbClr val="FF0000"/>
          </a:solidFill>
          <a:round/>
          <a:headEnd/>
          <a:tailEnd/>
        </a:ln>
      </xdr:spPr>
      <xdr:txBody>
        <a:bodyPr vertOverflow="clip" wrap="square" lIns="27432" tIns="22860" rIns="0" bIns="0" anchor="t" upright="1"/>
        <a:lstStyle/>
        <a:p>
          <a:pPr algn="l" rtl="1">
            <a:lnSpc>
              <a:spcPts val="900"/>
            </a:lnSpc>
            <a:defRPr sz="1000"/>
          </a:pPr>
          <a:r>
            <a:rPr lang="en-US" sz="1000" b="0" i="0" strike="noStrike">
              <a:solidFill>
                <a:srgbClr val="000000"/>
              </a:solidFill>
              <a:latin typeface="Arial"/>
              <a:cs typeface="Arial"/>
            </a:rPr>
            <a:t>  Axial Ratio =</a:t>
          </a:r>
        </a:p>
        <a:p>
          <a:pPr algn="l" rtl="1">
            <a:lnSpc>
              <a:spcPts val="900"/>
            </a:lnSpc>
            <a:defRPr sz="1000"/>
          </a:pPr>
          <a:endParaRPr lang="en-US" sz="1000" b="0" i="0" strike="noStrike">
            <a:solidFill>
              <a:srgbClr val="000000"/>
            </a:solidFill>
            <a:latin typeface="Arial"/>
            <a:cs typeface="Arial"/>
          </a:endParaRPr>
        </a:p>
        <a:p>
          <a:pPr algn="l" rtl="1">
            <a:lnSpc>
              <a:spcPts val="900"/>
            </a:lnSpc>
            <a:defRPr sz="1000"/>
          </a:pPr>
          <a:r>
            <a:rPr lang="en-US" sz="1000" b="0" i="0" strike="noStrike">
              <a:solidFill>
                <a:srgbClr val="000000"/>
              </a:solidFill>
              <a:latin typeface="Arial"/>
              <a:cs typeface="Arial"/>
            </a:rPr>
            <a:t>        1.0 =</a:t>
          </a:r>
        </a:p>
        <a:p>
          <a:pPr algn="l" rtl="1">
            <a:lnSpc>
              <a:spcPts val="900"/>
            </a:lnSpc>
            <a:defRPr sz="1000"/>
          </a:pPr>
          <a:endParaRPr lang="en-US" sz="1000" b="0" i="0" strike="noStrike">
            <a:solidFill>
              <a:srgbClr val="000000"/>
            </a:solidFill>
            <a:latin typeface="Arial"/>
            <a:cs typeface="Arial"/>
          </a:endParaRPr>
        </a:p>
        <a:p>
          <a:pPr algn="l" rtl="1">
            <a:defRPr sz="1000"/>
          </a:pPr>
          <a:r>
            <a:rPr lang="en-US" sz="1000" b="0" i="0" strike="noStrike">
              <a:solidFill>
                <a:srgbClr val="000000"/>
              </a:solidFill>
              <a:latin typeface="Arial"/>
              <a:cs typeface="Arial"/>
            </a:rPr>
            <a:t>        0.0 dB</a:t>
          </a:r>
        </a:p>
      </xdr:txBody>
    </xdr:sp>
    <xdr:clientData/>
  </xdr:twoCellAnchor>
  <xdr:twoCellAnchor>
    <xdr:from>
      <xdr:col>13</xdr:col>
      <xdr:colOff>0</xdr:colOff>
      <xdr:row>9</xdr:row>
      <xdr:rowOff>0</xdr:rowOff>
    </xdr:from>
    <xdr:to>
      <xdr:col>15</xdr:col>
      <xdr:colOff>9525</xdr:colOff>
      <xdr:row>13</xdr:row>
      <xdr:rowOff>0</xdr:rowOff>
    </xdr:to>
    <xdr:sp macro="" textlink="">
      <xdr:nvSpPr>
        <xdr:cNvPr id="6146" name="Oval 2">
          <a:extLst>
            <a:ext uri="{FF2B5EF4-FFF2-40B4-BE49-F238E27FC236}">
              <a16:creationId xmlns:a16="http://schemas.microsoft.com/office/drawing/2014/main" id="{64C36DA2-0D78-0E47-86EC-B54A1477B904}"/>
            </a:ext>
          </a:extLst>
        </xdr:cNvPr>
        <xdr:cNvSpPr>
          <a:spLocks noChangeArrowheads="1"/>
        </xdr:cNvSpPr>
      </xdr:nvSpPr>
      <xdr:spPr bwMode="auto">
        <a:xfrm>
          <a:off x="7981950" y="1533525"/>
          <a:ext cx="1371600" cy="647700"/>
        </a:xfrm>
        <a:prstGeom prst="ellipse">
          <a:avLst/>
        </a:prstGeom>
        <a:solidFill>
          <a:srgbClr val="FFFFFF"/>
        </a:solidFill>
        <a:ln w="28575">
          <a:solidFill>
            <a:srgbClr val="FF0000"/>
          </a:solidFill>
          <a:round/>
          <a:headEnd/>
          <a:tailEnd/>
        </a:ln>
      </xdr:spPr>
      <xdr:txBody>
        <a:bodyPr vertOverflow="clip" wrap="square" lIns="27432" tIns="22860" rIns="0" bIns="0" anchor="t" upright="1"/>
        <a:lstStyle/>
        <a:p>
          <a:pPr algn="l" rtl="1">
            <a:lnSpc>
              <a:spcPts val="900"/>
            </a:lnSpc>
            <a:defRPr sz="1000"/>
          </a:pPr>
          <a:r>
            <a:rPr lang="en-US" sz="1000" b="0" i="0" strike="noStrike">
              <a:solidFill>
                <a:srgbClr val="000000"/>
              </a:solidFill>
              <a:latin typeface="Arial"/>
              <a:cs typeface="Arial"/>
            </a:rPr>
            <a:t>   </a:t>
          </a:r>
          <a:r>
            <a:rPr lang="en-US" sz="900" b="0" i="0" strike="noStrike">
              <a:solidFill>
                <a:srgbClr val="000000"/>
              </a:solidFill>
              <a:latin typeface="Arial"/>
              <a:cs typeface="Arial"/>
            </a:rPr>
            <a:t>Axial Ratio =</a:t>
          </a:r>
        </a:p>
        <a:p>
          <a:pPr algn="l" rtl="1">
            <a:lnSpc>
              <a:spcPts val="800"/>
            </a:lnSpc>
            <a:defRPr sz="1000"/>
          </a:pPr>
          <a:r>
            <a:rPr lang="en-US" sz="900" b="0" i="0" strike="noStrike">
              <a:solidFill>
                <a:srgbClr val="000000"/>
              </a:solidFill>
              <a:latin typeface="Arial"/>
              <a:cs typeface="Arial"/>
            </a:rPr>
            <a:t>           2.0 = </a:t>
          </a:r>
        </a:p>
        <a:p>
          <a:pPr algn="l" rtl="1">
            <a:defRPr sz="1000"/>
          </a:pPr>
          <a:r>
            <a:rPr lang="en-US" sz="900" b="0" i="0" strike="noStrike">
              <a:solidFill>
                <a:srgbClr val="000000"/>
              </a:solidFill>
              <a:latin typeface="Arial"/>
              <a:cs typeface="Arial"/>
            </a:rPr>
            <a:t>           3.0 dB</a:t>
          </a:r>
        </a:p>
      </xdr:txBody>
    </xdr:sp>
    <xdr:clientData/>
  </xdr:twoCellAnchor>
  <xdr:twoCellAnchor>
    <xdr:from>
      <xdr:col>16</xdr:col>
      <xdr:colOff>0</xdr:colOff>
      <xdr:row>11</xdr:row>
      <xdr:rowOff>0</xdr:rowOff>
    </xdr:from>
    <xdr:to>
      <xdr:col>18</xdr:col>
      <xdr:colOff>0</xdr:colOff>
      <xdr:row>11</xdr:row>
      <xdr:rowOff>0</xdr:rowOff>
    </xdr:to>
    <xdr:sp macro="" textlink="">
      <xdr:nvSpPr>
        <xdr:cNvPr id="6818" name="Line 3">
          <a:extLst>
            <a:ext uri="{FF2B5EF4-FFF2-40B4-BE49-F238E27FC236}">
              <a16:creationId xmlns:a16="http://schemas.microsoft.com/office/drawing/2014/main" id="{E2350686-2FC6-AC47-AF0D-5CBD7E1619E3}"/>
            </a:ext>
          </a:extLst>
        </xdr:cNvPr>
        <xdr:cNvSpPr>
          <a:spLocks noChangeShapeType="1"/>
        </xdr:cNvSpPr>
      </xdr:nvSpPr>
      <xdr:spPr bwMode="auto">
        <a:xfrm>
          <a:off x="11074400" y="1866900"/>
          <a:ext cx="134620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657225</xdr:colOff>
      <xdr:row>17</xdr:row>
      <xdr:rowOff>38100</xdr:rowOff>
    </xdr:from>
    <xdr:to>
      <xdr:col>11</xdr:col>
      <xdr:colOff>672940</xdr:colOff>
      <xdr:row>24</xdr:row>
      <xdr:rowOff>114300</xdr:rowOff>
    </xdr:to>
    <xdr:sp macro="" textlink="">
      <xdr:nvSpPr>
        <xdr:cNvPr id="6148" name="Oval 4">
          <a:extLst>
            <a:ext uri="{FF2B5EF4-FFF2-40B4-BE49-F238E27FC236}">
              <a16:creationId xmlns:a16="http://schemas.microsoft.com/office/drawing/2014/main" id="{13460A1A-1071-6A48-8481-250CBCD280D8}"/>
            </a:ext>
          </a:extLst>
        </xdr:cNvPr>
        <xdr:cNvSpPr>
          <a:spLocks noChangeArrowheads="1"/>
        </xdr:cNvSpPr>
      </xdr:nvSpPr>
      <xdr:spPr bwMode="auto">
        <a:xfrm>
          <a:off x="6076950" y="2867025"/>
          <a:ext cx="1295400" cy="1209675"/>
        </a:xfrm>
        <a:prstGeom prst="ellipse">
          <a:avLst/>
        </a:prstGeom>
        <a:solidFill>
          <a:srgbClr val="FFFFFF"/>
        </a:solidFill>
        <a:ln w="28575">
          <a:solidFill>
            <a:srgbClr val="0000FF"/>
          </a:solidFill>
          <a:round/>
          <a:headEnd/>
          <a:tailEnd/>
        </a:ln>
      </xdr:spPr>
      <xdr:txBody>
        <a:bodyPr vertOverflow="clip" wrap="square" lIns="27432" tIns="22860" rIns="0" bIns="0" anchor="t" upright="1"/>
        <a:lstStyle/>
        <a:p>
          <a:pPr algn="l" rtl="1">
            <a:lnSpc>
              <a:spcPts val="900"/>
            </a:lnSpc>
            <a:defRPr sz="1000"/>
          </a:pPr>
          <a:r>
            <a:rPr lang="en-US" sz="1000" b="0" i="0" strike="noStrike">
              <a:solidFill>
                <a:srgbClr val="000000"/>
              </a:solidFill>
              <a:latin typeface="Arial"/>
              <a:cs typeface="Arial"/>
            </a:rPr>
            <a:t>  Axial Ratio =</a:t>
          </a:r>
        </a:p>
        <a:p>
          <a:pPr algn="l" rtl="1">
            <a:lnSpc>
              <a:spcPts val="900"/>
            </a:lnSpc>
            <a:defRPr sz="1000"/>
          </a:pPr>
          <a:endParaRPr lang="en-US" sz="1000" b="0" i="0" strike="noStrike">
            <a:solidFill>
              <a:srgbClr val="000000"/>
            </a:solidFill>
            <a:latin typeface="Arial"/>
            <a:cs typeface="Arial"/>
          </a:endParaRPr>
        </a:p>
        <a:p>
          <a:pPr algn="l" rtl="1">
            <a:lnSpc>
              <a:spcPts val="900"/>
            </a:lnSpc>
            <a:defRPr sz="1000"/>
          </a:pPr>
          <a:r>
            <a:rPr lang="en-US" sz="1000" b="0" i="0" strike="noStrike">
              <a:solidFill>
                <a:srgbClr val="000000"/>
              </a:solidFill>
              <a:latin typeface="Arial"/>
              <a:cs typeface="Arial"/>
            </a:rPr>
            <a:t>        1.0 =</a:t>
          </a:r>
        </a:p>
        <a:p>
          <a:pPr algn="l" rtl="1">
            <a:lnSpc>
              <a:spcPts val="900"/>
            </a:lnSpc>
            <a:defRPr sz="1000"/>
          </a:pPr>
          <a:endParaRPr lang="en-US" sz="1000" b="0" i="0" strike="noStrike">
            <a:solidFill>
              <a:srgbClr val="000000"/>
            </a:solidFill>
            <a:latin typeface="Arial"/>
            <a:cs typeface="Arial"/>
          </a:endParaRPr>
        </a:p>
        <a:p>
          <a:pPr algn="l" rtl="1">
            <a:defRPr sz="1000"/>
          </a:pPr>
          <a:r>
            <a:rPr lang="en-US" sz="1000" b="0" i="0" strike="noStrike">
              <a:solidFill>
                <a:srgbClr val="000000"/>
              </a:solidFill>
              <a:latin typeface="Arial"/>
              <a:cs typeface="Arial"/>
            </a:rPr>
            <a:t>        0.0 dB</a:t>
          </a:r>
        </a:p>
      </xdr:txBody>
    </xdr:sp>
    <xdr:clientData/>
  </xdr:twoCellAnchor>
  <xdr:twoCellAnchor>
    <xdr:from>
      <xdr:col>13</xdr:col>
      <xdr:colOff>0</xdr:colOff>
      <xdr:row>19</xdr:row>
      <xdr:rowOff>0</xdr:rowOff>
    </xdr:from>
    <xdr:to>
      <xdr:col>15</xdr:col>
      <xdr:colOff>9525</xdr:colOff>
      <xdr:row>23</xdr:row>
      <xdr:rowOff>0</xdr:rowOff>
    </xdr:to>
    <xdr:sp macro="" textlink="">
      <xdr:nvSpPr>
        <xdr:cNvPr id="6149" name="Oval 5">
          <a:extLst>
            <a:ext uri="{FF2B5EF4-FFF2-40B4-BE49-F238E27FC236}">
              <a16:creationId xmlns:a16="http://schemas.microsoft.com/office/drawing/2014/main" id="{A15F76BC-8836-9E42-9B9A-E620DD1B6D64}"/>
            </a:ext>
          </a:extLst>
        </xdr:cNvPr>
        <xdr:cNvSpPr>
          <a:spLocks noChangeArrowheads="1"/>
        </xdr:cNvSpPr>
      </xdr:nvSpPr>
      <xdr:spPr bwMode="auto">
        <a:xfrm>
          <a:off x="7981950" y="3152775"/>
          <a:ext cx="1371600" cy="647700"/>
        </a:xfrm>
        <a:prstGeom prst="ellipse">
          <a:avLst/>
        </a:prstGeom>
        <a:solidFill>
          <a:srgbClr val="FFFFFF"/>
        </a:solidFill>
        <a:ln w="28575">
          <a:solidFill>
            <a:srgbClr val="0000FF"/>
          </a:solidFill>
          <a:round/>
          <a:headEnd/>
          <a:tailEnd/>
        </a:ln>
      </xdr:spPr>
      <xdr:txBody>
        <a:bodyPr vertOverflow="clip" wrap="square" lIns="27432" tIns="22860" rIns="0" bIns="0" anchor="t" upright="1"/>
        <a:lstStyle/>
        <a:p>
          <a:pPr algn="l" rtl="1">
            <a:lnSpc>
              <a:spcPts val="800"/>
            </a:lnSpc>
            <a:defRPr sz="1000"/>
          </a:pPr>
          <a:r>
            <a:rPr lang="en-US" sz="900" b="0" i="0" strike="noStrike">
              <a:solidFill>
                <a:srgbClr val="000000"/>
              </a:solidFill>
              <a:latin typeface="Arial"/>
              <a:cs typeface="Arial"/>
            </a:rPr>
            <a:t>    Axial Ratio =</a:t>
          </a:r>
        </a:p>
        <a:p>
          <a:pPr algn="l" rtl="1">
            <a:lnSpc>
              <a:spcPts val="800"/>
            </a:lnSpc>
            <a:defRPr sz="1000"/>
          </a:pPr>
          <a:r>
            <a:rPr lang="en-US" sz="900" b="0" i="0" strike="noStrike">
              <a:solidFill>
                <a:srgbClr val="000000"/>
              </a:solidFill>
              <a:latin typeface="Arial"/>
              <a:cs typeface="Arial"/>
            </a:rPr>
            <a:t>           2.0 =</a:t>
          </a:r>
        </a:p>
        <a:p>
          <a:pPr algn="l" rtl="1">
            <a:defRPr sz="1000"/>
          </a:pPr>
          <a:r>
            <a:rPr lang="en-US" sz="900" b="0" i="0" strike="noStrike">
              <a:solidFill>
                <a:srgbClr val="000000"/>
              </a:solidFill>
              <a:latin typeface="Arial"/>
              <a:cs typeface="Arial"/>
            </a:rPr>
            <a:t>         3.0 dB</a:t>
          </a:r>
        </a:p>
      </xdr:txBody>
    </xdr:sp>
    <xdr:clientData/>
  </xdr:twoCellAnchor>
  <xdr:twoCellAnchor>
    <xdr:from>
      <xdr:col>16</xdr:col>
      <xdr:colOff>0</xdr:colOff>
      <xdr:row>21</xdr:row>
      <xdr:rowOff>0</xdr:rowOff>
    </xdr:from>
    <xdr:to>
      <xdr:col>18</xdr:col>
      <xdr:colOff>0</xdr:colOff>
      <xdr:row>21</xdr:row>
      <xdr:rowOff>0</xdr:rowOff>
    </xdr:to>
    <xdr:sp macro="" textlink="">
      <xdr:nvSpPr>
        <xdr:cNvPr id="6821" name="Line 6">
          <a:extLst>
            <a:ext uri="{FF2B5EF4-FFF2-40B4-BE49-F238E27FC236}">
              <a16:creationId xmlns:a16="http://schemas.microsoft.com/office/drawing/2014/main" id="{5A0A232E-E158-614C-858D-29F2E15379F5}"/>
            </a:ext>
          </a:extLst>
        </xdr:cNvPr>
        <xdr:cNvSpPr>
          <a:spLocks noChangeShapeType="1"/>
        </xdr:cNvSpPr>
      </xdr:nvSpPr>
      <xdr:spPr bwMode="auto">
        <a:xfrm>
          <a:off x="11074400" y="3505200"/>
          <a:ext cx="1346200" cy="0"/>
        </a:xfrm>
        <a:prstGeom prst="line">
          <a:avLst/>
        </a:prstGeom>
        <a:noFill/>
        <a:ln w="28575">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647700</xdr:colOff>
      <xdr:row>30</xdr:row>
      <xdr:rowOff>63500</xdr:rowOff>
    </xdr:from>
    <xdr:to>
      <xdr:col>12</xdr:col>
      <xdr:colOff>647700</xdr:colOff>
      <xdr:row>34</xdr:row>
      <xdr:rowOff>50800</xdr:rowOff>
    </xdr:to>
    <xdr:sp macro="" textlink="">
      <xdr:nvSpPr>
        <xdr:cNvPr id="6822" name="Oval 7">
          <a:extLst>
            <a:ext uri="{FF2B5EF4-FFF2-40B4-BE49-F238E27FC236}">
              <a16:creationId xmlns:a16="http://schemas.microsoft.com/office/drawing/2014/main" id="{52517ED4-6201-A542-8D1B-C7376F38179F}"/>
            </a:ext>
          </a:extLst>
        </xdr:cNvPr>
        <xdr:cNvSpPr>
          <a:spLocks noChangeArrowheads="1"/>
        </xdr:cNvSpPr>
      </xdr:nvSpPr>
      <xdr:spPr bwMode="auto">
        <a:xfrm rot="2094983">
          <a:off x="7493000" y="5080000"/>
          <a:ext cx="1346200" cy="6477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698500</xdr:colOff>
      <xdr:row>32</xdr:row>
      <xdr:rowOff>25400</xdr:rowOff>
    </xdr:from>
    <xdr:to>
      <xdr:col>13</xdr:col>
      <xdr:colOff>622300</xdr:colOff>
      <xdr:row>32</xdr:row>
      <xdr:rowOff>38100</xdr:rowOff>
    </xdr:to>
    <xdr:sp macro="" textlink="">
      <xdr:nvSpPr>
        <xdr:cNvPr id="6823" name="Line 8">
          <a:extLst>
            <a:ext uri="{FF2B5EF4-FFF2-40B4-BE49-F238E27FC236}">
              <a16:creationId xmlns:a16="http://schemas.microsoft.com/office/drawing/2014/main" id="{4E84FF42-9BC5-724D-9AA1-85394B6736EC}"/>
            </a:ext>
          </a:extLst>
        </xdr:cNvPr>
        <xdr:cNvSpPr>
          <a:spLocks noChangeShapeType="1"/>
        </xdr:cNvSpPr>
      </xdr:nvSpPr>
      <xdr:spPr bwMode="auto">
        <a:xfrm rot="2132260" flipV="1">
          <a:off x="6794500" y="5372100"/>
          <a:ext cx="2692400" cy="12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635000</xdr:colOff>
      <xdr:row>30</xdr:row>
      <xdr:rowOff>63500</xdr:rowOff>
    </xdr:from>
    <xdr:to>
      <xdr:col>12</xdr:col>
      <xdr:colOff>647700</xdr:colOff>
      <xdr:row>34</xdr:row>
      <xdr:rowOff>63500</xdr:rowOff>
    </xdr:to>
    <xdr:sp macro="" textlink="">
      <xdr:nvSpPr>
        <xdr:cNvPr id="6824" name="Oval 9">
          <a:extLst>
            <a:ext uri="{FF2B5EF4-FFF2-40B4-BE49-F238E27FC236}">
              <a16:creationId xmlns:a16="http://schemas.microsoft.com/office/drawing/2014/main" id="{5786EDCD-124F-654D-B026-0FAC2AD45218}"/>
            </a:ext>
          </a:extLst>
        </xdr:cNvPr>
        <xdr:cNvSpPr>
          <a:spLocks noChangeArrowheads="1"/>
        </xdr:cNvSpPr>
      </xdr:nvSpPr>
      <xdr:spPr bwMode="auto">
        <a:xfrm rot="-2312580">
          <a:off x="7480300" y="5080000"/>
          <a:ext cx="1358900" cy="66040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698500</xdr:colOff>
      <xdr:row>32</xdr:row>
      <xdr:rowOff>63500</xdr:rowOff>
    </xdr:from>
    <xdr:to>
      <xdr:col>13</xdr:col>
      <xdr:colOff>622300</xdr:colOff>
      <xdr:row>32</xdr:row>
      <xdr:rowOff>63500</xdr:rowOff>
    </xdr:to>
    <xdr:sp macro="" textlink="">
      <xdr:nvSpPr>
        <xdr:cNvPr id="6825" name="Line 10">
          <a:extLst>
            <a:ext uri="{FF2B5EF4-FFF2-40B4-BE49-F238E27FC236}">
              <a16:creationId xmlns:a16="http://schemas.microsoft.com/office/drawing/2014/main" id="{3F978CB9-6234-B047-9AAF-ACAD5F92EC1B}"/>
            </a:ext>
          </a:extLst>
        </xdr:cNvPr>
        <xdr:cNvSpPr>
          <a:spLocks noChangeShapeType="1"/>
        </xdr:cNvSpPr>
      </xdr:nvSpPr>
      <xdr:spPr bwMode="auto">
        <a:xfrm rot="-2384222">
          <a:off x="6794500" y="5410200"/>
          <a:ext cx="269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333375</xdr:colOff>
      <xdr:row>31</xdr:row>
      <xdr:rowOff>114300</xdr:rowOff>
    </xdr:from>
    <xdr:to>
      <xdr:col>13</xdr:col>
      <xdr:colOff>625475</xdr:colOff>
      <xdr:row>34</xdr:row>
      <xdr:rowOff>38100</xdr:rowOff>
    </xdr:to>
    <xdr:sp macro="" textlink="">
      <xdr:nvSpPr>
        <xdr:cNvPr id="6161" name="Text Box 17">
          <a:extLst>
            <a:ext uri="{FF2B5EF4-FFF2-40B4-BE49-F238E27FC236}">
              <a16:creationId xmlns:a16="http://schemas.microsoft.com/office/drawing/2014/main" id="{CB2BAD51-EA36-ED4E-9FF8-33E3CDD37B0D}"/>
            </a:ext>
          </a:extLst>
        </xdr:cNvPr>
        <xdr:cNvSpPr txBox="1">
          <a:spLocks noChangeArrowheads="1"/>
        </xdr:cNvSpPr>
      </xdr:nvSpPr>
      <xdr:spPr bwMode="auto">
        <a:xfrm>
          <a:off x="8277225" y="5229225"/>
          <a:ext cx="266700" cy="409575"/>
        </a:xfrm>
        <a:prstGeom prst="rect">
          <a:avLst/>
        </a:prstGeom>
        <a:noFill/>
        <a:ln w="9525">
          <a:noFill/>
          <a:miter lim="800000"/>
          <a:headEnd/>
          <a:tailEnd/>
        </a:ln>
      </xdr:spPr>
      <xdr:txBody>
        <a:bodyPr vertOverflow="clip" wrap="square" lIns="36576" tIns="27432" rIns="0" bIns="0" anchor="t" upright="1"/>
        <a:lstStyle/>
        <a:p>
          <a:pPr algn="l" rtl="1">
            <a:defRPr sz="1000"/>
          </a:pPr>
          <a:r>
            <a:rPr lang="el-GR" sz="1200" b="1" i="0" strike="noStrike">
              <a:solidFill>
                <a:srgbClr val="000000"/>
              </a:solidFill>
              <a:latin typeface="Arial"/>
              <a:cs typeface="Arial"/>
            </a:rPr>
            <a:t>θ</a:t>
          </a:r>
        </a:p>
      </xdr:txBody>
    </xdr:sp>
    <xdr:clientData/>
  </xdr:twoCellAnchor>
  <xdr:twoCellAnchor>
    <xdr:from>
      <xdr:col>13</xdr:col>
      <xdr:colOff>304800</xdr:colOff>
      <xdr:row>33</xdr:row>
      <xdr:rowOff>25400</xdr:rowOff>
    </xdr:from>
    <xdr:to>
      <xdr:col>13</xdr:col>
      <xdr:colOff>393700</xdr:colOff>
      <xdr:row>34</xdr:row>
      <xdr:rowOff>50800</xdr:rowOff>
    </xdr:to>
    <xdr:sp macro="" textlink="">
      <xdr:nvSpPr>
        <xdr:cNvPr id="6827" name="Line 18">
          <a:extLst>
            <a:ext uri="{FF2B5EF4-FFF2-40B4-BE49-F238E27FC236}">
              <a16:creationId xmlns:a16="http://schemas.microsoft.com/office/drawing/2014/main" id="{2D83D6E7-844C-994A-B975-85965908364A}"/>
            </a:ext>
          </a:extLst>
        </xdr:cNvPr>
        <xdr:cNvSpPr>
          <a:spLocks noChangeShapeType="1"/>
        </xdr:cNvSpPr>
      </xdr:nvSpPr>
      <xdr:spPr bwMode="auto">
        <a:xfrm flipH="1">
          <a:off x="9169400" y="5537200"/>
          <a:ext cx="8890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152400</xdr:colOff>
      <xdr:row>34</xdr:row>
      <xdr:rowOff>50800</xdr:rowOff>
    </xdr:from>
    <xdr:to>
      <xdr:col>13</xdr:col>
      <xdr:colOff>304800</xdr:colOff>
      <xdr:row>35</xdr:row>
      <xdr:rowOff>76200</xdr:rowOff>
    </xdr:to>
    <xdr:sp macro="" textlink="">
      <xdr:nvSpPr>
        <xdr:cNvPr id="6828" name="Line 19">
          <a:extLst>
            <a:ext uri="{FF2B5EF4-FFF2-40B4-BE49-F238E27FC236}">
              <a16:creationId xmlns:a16="http://schemas.microsoft.com/office/drawing/2014/main" id="{3D95482D-D760-8E43-B88A-DBECC2EBA9A7}"/>
            </a:ext>
          </a:extLst>
        </xdr:cNvPr>
        <xdr:cNvSpPr>
          <a:spLocks noChangeShapeType="1"/>
        </xdr:cNvSpPr>
      </xdr:nvSpPr>
      <xdr:spPr bwMode="auto">
        <a:xfrm flipH="1">
          <a:off x="9017000" y="5727700"/>
          <a:ext cx="15240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342900</xdr:colOff>
      <xdr:row>30</xdr:row>
      <xdr:rowOff>63500</xdr:rowOff>
    </xdr:from>
    <xdr:to>
      <xdr:col>13</xdr:col>
      <xdr:colOff>393700</xdr:colOff>
      <xdr:row>31</xdr:row>
      <xdr:rowOff>101600</xdr:rowOff>
    </xdr:to>
    <xdr:sp macro="" textlink="">
      <xdr:nvSpPr>
        <xdr:cNvPr id="6829" name="Line 20">
          <a:extLst>
            <a:ext uri="{FF2B5EF4-FFF2-40B4-BE49-F238E27FC236}">
              <a16:creationId xmlns:a16="http://schemas.microsoft.com/office/drawing/2014/main" id="{62FC9C73-C81B-0747-83BC-6F35444D757C}"/>
            </a:ext>
          </a:extLst>
        </xdr:cNvPr>
        <xdr:cNvSpPr>
          <a:spLocks noChangeShapeType="1"/>
        </xdr:cNvSpPr>
      </xdr:nvSpPr>
      <xdr:spPr bwMode="auto">
        <a:xfrm flipH="1" flipV="1">
          <a:off x="9207500" y="5080000"/>
          <a:ext cx="50800" cy="203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139700</xdr:colOff>
      <xdr:row>28</xdr:row>
      <xdr:rowOff>152400</xdr:rowOff>
    </xdr:from>
    <xdr:to>
      <xdr:col>13</xdr:col>
      <xdr:colOff>342900</xdr:colOff>
      <xdr:row>30</xdr:row>
      <xdr:rowOff>63500</xdr:rowOff>
    </xdr:to>
    <xdr:sp macro="" textlink="">
      <xdr:nvSpPr>
        <xdr:cNvPr id="6830" name="Line 21">
          <a:extLst>
            <a:ext uri="{FF2B5EF4-FFF2-40B4-BE49-F238E27FC236}">
              <a16:creationId xmlns:a16="http://schemas.microsoft.com/office/drawing/2014/main" id="{2020D9A1-DD3D-0F44-B114-FFB658F9FF12}"/>
            </a:ext>
          </a:extLst>
        </xdr:cNvPr>
        <xdr:cNvSpPr>
          <a:spLocks noChangeShapeType="1"/>
        </xdr:cNvSpPr>
      </xdr:nvSpPr>
      <xdr:spPr bwMode="auto">
        <a:xfrm flipH="1" flipV="1">
          <a:off x="9004300" y="4826000"/>
          <a:ext cx="203200" cy="254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647700</xdr:colOff>
      <xdr:row>11</xdr:row>
      <xdr:rowOff>0</xdr:rowOff>
    </xdr:from>
    <xdr:to>
      <xdr:col>5</xdr:col>
      <xdr:colOff>584200</xdr:colOff>
      <xdr:row>11</xdr:row>
      <xdr:rowOff>0</xdr:rowOff>
    </xdr:to>
    <xdr:sp macro="" textlink="">
      <xdr:nvSpPr>
        <xdr:cNvPr id="6831" name="Line 22">
          <a:extLst>
            <a:ext uri="{FF2B5EF4-FFF2-40B4-BE49-F238E27FC236}">
              <a16:creationId xmlns:a16="http://schemas.microsoft.com/office/drawing/2014/main" id="{7C870FA2-39D5-374F-BAC4-E05A892CE3CA}"/>
            </a:ext>
          </a:extLst>
        </xdr:cNvPr>
        <xdr:cNvSpPr>
          <a:spLocks noChangeShapeType="1"/>
        </xdr:cNvSpPr>
      </xdr:nvSpPr>
      <xdr:spPr bwMode="auto">
        <a:xfrm flipH="1">
          <a:off x="2667000" y="1866900"/>
          <a:ext cx="12827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647700</xdr:colOff>
      <xdr:row>21</xdr:row>
      <xdr:rowOff>0</xdr:rowOff>
    </xdr:from>
    <xdr:to>
      <xdr:col>5</xdr:col>
      <xdr:colOff>660400</xdr:colOff>
      <xdr:row>21</xdr:row>
      <xdr:rowOff>0</xdr:rowOff>
    </xdr:to>
    <xdr:sp macro="" textlink="">
      <xdr:nvSpPr>
        <xdr:cNvPr id="6832" name="Line 23">
          <a:extLst>
            <a:ext uri="{FF2B5EF4-FFF2-40B4-BE49-F238E27FC236}">
              <a16:creationId xmlns:a16="http://schemas.microsoft.com/office/drawing/2014/main" id="{4E134F56-A0EE-FE4A-A38C-440059F74E08}"/>
            </a:ext>
          </a:extLst>
        </xdr:cNvPr>
        <xdr:cNvSpPr>
          <a:spLocks noChangeShapeType="1"/>
        </xdr:cNvSpPr>
      </xdr:nvSpPr>
      <xdr:spPr bwMode="auto">
        <a:xfrm flipH="1">
          <a:off x="2667000" y="3505200"/>
          <a:ext cx="13589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8</xdr:row>
      <xdr:rowOff>152400</xdr:rowOff>
    </xdr:from>
    <xdr:to>
      <xdr:col>5</xdr:col>
      <xdr:colOff>0</xdr:colOff>
      <xdr:row>13</xdr:row>
      <xdr:rowOff>25400</xdr:rowOff>
    </xdr:to>
    <xdr:sp macro="" textlink="">
      <xdr:nvSpPr>
        <xdr:cNvPr id="6833" name="Line 24">
          <a:extLst>
            <a:ext uri="{FF2B5EF4-FFF2-40B4-BE49-F238E27FC236}">
              <a16:creationId xmlns:a16="http://schemas.microsoft.com/office/drawing/2014/main" id="{4489D362-FE4F-1C47-8063-D012FB9A4EBA}"/>
            </a:ext>
          </a:extLst>
        </xdr:cNvPr>
        <xdr:cNvSpPr>
          <a:spLocks noChangeShapeType="1"/>
        </xdr:cNvSpPr>
      </xdr:nvSpPr>
      <xdr:spPr bwMode="auto">
        <a:xfrm>
          <a:off x="3365500" y="1549400"/>
          <a:ext cx="0" cy="6731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19</xdr:row>
      <xdr:rowOff>0</xdr:rowOff>
    </xdr:from>
    <xdr:to>
      <xdr:col>5</xdr:col>
      <xdr:colOff>0</xdr:colOff>
      <xdr:row>23</xdr:row>
      <xdr:rowOff>25400</xdr:rowOff>
    </xdr:to>
    <xdr:sp macro="" textlink="">
      <xdr:nvSpPr>
        <xdr:cNvPr id="6834" name="Line 25">
          <a:extLst>
            <a:ext uri="{FF2B5EF4-FFF2-40B4-BE49-F238E27FC236}">
              <a16:creationId xmlns:a16="http://schemas.microsoft.com/office/drawing/2014/main" id="{91F2A8A3-B657-A44E-A3E3-E6D28B49E27B}"/>
            </a:ext>
          </a:extLst>
        </xdr:cNvPr>
        <xdr:cNvSpPr>
          <a:spLocks noChangeShapeType="1"/>
        </xdr:cNvSpPr>
      </xdr:nvSpPr>
      <xdr:spPr bwMode="auto">
        <a:xfrm>
          <a:off x="3365500" y="3187700"/>
          <a:ext cx="0" cy="6731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oneCellAnchor>
    <xdr:from>
      <xdr:col>1</xdr:col>
      <xdr:colOff>625475</xdr:colOff>
      <xdr:row>10</xdr:row>
      <xdr:rowOff>0</xdr:rowOff>
    </xdr:from>
    <xdr:ext cx="1223027" cy="318036"/>
    <xdr:sp macro="" textlink="">
      <xdr:nvSpPr>
        <xdr:cNvPr id="6170" name="Text Box 26">
          <a:extLst>
            <a:ext uri="{FF2B5EF4-FFF2-40B4-BE49-F238E27FC236}">
              <a16:creationId xmlns:a16="http://schemas.microsoft.com/office/drawing/2014/main" id="{87B75D05-772F-9C4E-9244-D8800144977D}"/>
            </a:ext>
          </a:extLst>
        </xdr:cNvPr>
        <xdr:cNvSpPr txBox="1">
          <a:spLocks noChangeArrowheads="1"/>
        </xdr:cNvSpPr>
      </xdr:nvSpPr>
      <xdr:spPr bwMode="auto">
        <a:xfrm>
          <a:off x="1171575" y="1695450"/>
          <a:ext cx="1223027" cy="318036"/>
        </a:xfrm>
        <a:prstGeom prst="rect">
          <a:avLst/>
        </a:prstGeom>
        <a:solidFill>
          <a:srgbClr val="FFFFFF"/>
        </a:solid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Power when Aligned </a:t>
          </a:r>
        </a:p>
        <a:p>
          <a:pPr algn="l" rtl="1">
            <a:defRPr sz="1000"/>
          </a:pPr>
          <a:r>
            <a:rPr lang="en-US" sz="1000" b="0" i="0" strike="noStrike">
              <a:solidFill>
                <a:srgbClr val="000000"/>
              </a:solidFill>
              <a:latin typeface="Arial"/>
              <a:cs typeface="Arial"/>
            </a:rPr>
            <a:t>with Major Axis</a:t>
          </a:r>
        </a:p>
      </xdr:txBody>
    </xdr:sp>
    <xdr:clientData/>
  </xdr:oneCellAnchor>
  <xdr:oneCellAnchor>
    <xdr:from>
      <xdr:col>1</xdr:col>
      <xdr:colOff>584200</xdr:colOff>
      <xdr:row>20</xdr:row>
      <xdr:rowOff>0</xdr:rowOff>
    </xdr:from>
    <xdr:ext cx="1223027" cy="318036"/>
    <xdr:sp macro="" textlink="">
      <xdr:nvSpPr>
        <xdr:cNvPr id="6171" name="Text Box 27">
          <a:extLst>
            <a:ext uri="{FF2B5EF4-FFF2-40B4-BE49-F238E27FC236}">
              <a16:creationId xmlns:a16="http://schemas.microsoft.com/office/drawing/2014/main" id="{6468FD01-C1E3-2442-A6FB-9153C49D768A}"/>
            </a:ext>
          </a:extLst>
        </xdr:cNvPr>
        <xdr:cNvSpPr txBox="1">
          <a:spLocks noChangeArrowheads="1"/>
        </xdr:cNvSpPr>
      </xdr:nvSpPr>
      <xdr:spPr bwMode="auto">
        <a:xfrm>
          <a:off x="1143000" y="3314700"/>
          <a:ext cx="1223027" cy="318036"/>
        </a:xfrm>
        <a:prstGeom prst="rect">
          <a:avLst/>
        </a:prstGeom>
        <a:solidFill>
          <a:srgbClr val="FFFFFF"/>
        </a:solid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Power when Aligned </a:t>
          </a:r>
        </a:p>
        <a:p>
          <a:pPr algn="l" rtl="1">
            <a:defRPr sz="1000"/>
          </a:pPr>
          <a:r>
            <a:rPr lang="en-US" sz="1000" b="0" i="0" strike="noStrike">
              <a:solidFill>
                <a:srgbClr val="000000"/>
              </a:solidFill>
              <a:latin typeface="Arial"/>
              <a:cs typeface="Arial"/>
            </a:rPr>
            <a:t>with Major Axis</a:t>
          </a:r>
        </a:p>
      </xdr:txBody>
    </xdr:sp>
    <xdr:clientData/>
  </xdr:oneCellAnchor>
  <xdr:oneCellAnchor>
    <xdr:from>
      <xdr:col>3</xdr:col>
      <xdr:colOff>165100</xdr:colOff>
      <xdr:row>6</xdr:row>
      <xdr:rowOff>9525</xdr:rowOff>
    </xdr:from>
    <xdr:ext cx="2131782" cy="170560"/>
    <xdr:sp macro="" textlink="">
      <xdr:nvSpPr>
        <xdr:cNvPr id="6172" name="Text Box 28">
          <a:extLst>
            <a:ext uri="{FF2B5EF4-FFF2-40B4-BE49-F238E27FC236}">
              <a16:creationId xmlns:a16="http://schemas.microsoft.com/office/drawing/2014/main" id="{2B073DE9-80DF-784B-A6DA-8E4D43E03904}"/>
            </a:ext>
          </a:extLst>
        </xdr:cNvPr>
        <xdr:cNvSpPr txBox="1">
          <a:spLocks noChangeArrowheads="1"/>
        </xdr:cNvSpPr>
      </xdr:nvSpPr>
      <xdr:spPr bwMode="auto">
        <a:xfrm>
          <a:off x="1981200" y="1057275"/>
          <a:ext cx="2085186" cy="170560"/>
        </a:xfrm>
        <a:prstGeom prst="rect">
          <a:avLst/>
        </a:prstGeom>
        <a:solidFill>
          <a:srgbClr val="FFFFFF"/>
        </a:solid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Power when Aligned with Minor Axis</a:t>
          </a:r>
        </a:p>
      </xdr:txBody>
    </xdr:sp>
    <xdr:clientData/>
  </xdr:oneCellAnchor>
  <xdr:twoCellAnchor>
    <xdr:from>
      <xdr:col>4</xdr:col>
      <xdr:colOff>0</xdr:colOff>
      <xdr:row>3</xdr:row>
      <xdr:rowOff>76200</xdr:rowOff>
    </xdr:from>
    <xdr:to>
      <xdr:col>10</xdr:col>
      <xdr:colOff>12700</xdr:colOff>
      <xdr:row>3</xdr:row>
      <xdr:rowOff>76200</xdr:rowOff>
    </xdr:to>
    <xdr:sp macro="" textlink="">
      <xdr:nvSpPr>
        <xdr:cNvPr id="6838" name="Line 29">
          <a:extLst>
            <a:ext uri="{FF2B5EF4-FFF2-40B4-BE49-F238E27FC236}">
              <a16:creationId xmlns:a16="http://schemas.microsoft.com/office/drawing/2014/main" id="{8457D2C3-6707-0040-9769-D24DF0B7B64B}"/>
            </a:ext>
          </a:extLst>
        </xdr:cNvPr>
        <xdr:cNvSpPr>
          <a:spLocks noChangeShapeType="1"/>
        </xdr:cNvSpPr>
      </xdr:nvSpPr>
      <xdr:spPr bwMode="auto">
        <a:xfrm>
          <a:off x="2692400" y="647700"/>
          <a:ext cx="4165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520700</xdr:colOff>
      <xdr:row>2</xdr:row>
      <xdr:rowOff>12700</xdr:rowOff>
    </xdr:from>
    <xdr:to>
      <xdr:col>3</xdr:col>
      <xdr:colOff>647700</xdr:colOff>
      <xdr:row>5</xdr:row>
      <xdr:rowOff>12700</xdr:rowOff>
    </xdr:to>
    <xdr:sp macro="" textlink="">
      <xdr:nvSpPr>
        <xdr:cNvPr id="6839" name="AutoShape 31">
          <a:extLst>
            <a:ext uri="{FF2B5EF4-FFF2-40B4-BE49-F238E27FC236}">
              <a16:creationId xmlns:a16="http://schemas.microsoft.com/office/drawing/2014/main" id="{137D25FC-6B3C-AC46-8D50-3600286FE076}"/>
            </a:ext>
          </a:extLst>
        </xdr:cNvPr>
        <xdr:cNvSpPr>
          <a:spLocks/>
        </xdr:cNvSpPr>
      </xdr:nvSpPr>
      <xdr:spPr bwMode="auto">
        <a:xfrm>
          <a:off x="2540000" y="419100"/>
          <a:ext cx="127000" cy="495300"/>
        </a:xfrm>
        <a:prstGeom prst="leftBracket">
          <a:avLst>
            <a:gd name="adj" fmla="val 3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736600</xdr:colOff>
      <xdr:row>2</xdr:row>
      <xdr:rowOff>0</xdr:rowOff>
    </xdr:from>
    <xdr:to>
      <xdr:col>10</xdr:col>
      <xdr:colOff>114300</xdr:colOff>
      <xdr:row>4</xdr:row>
      <xdr:rowOff>152400</xdr:rowOff>
    </xdr:to>
    <xdr:sp macro="" textlink="">
      <xdr:nvSpPr>
        <xdr:cNvPr id="6840" name="AutoShape 32">
          <a:extLst>
            <a:ext uri="{FF2B5EF4-FFF2-40B4-BE49-F238E27FC236}">
              <a16:creationId xmlns:a16="http://schemas.microsoft.com/office/drawing/2014/main" id="{0F4FF3BE-438D-354B-8151-672B5E26F254}"/>
            </a:ext>
          </a:extLst>
        </xdr:cNvPr>
        <xdr:cNvSpPr>
          <a:spLocks/>
        </xdr:cNvSpPr>
      </xdr:nvSpPr>
      <xdr:spPr bwMode="auto">
        <a:xfrm>
          <a:off x="6832600" y="406400"/>
          <a:ext cx="127000" cy="482600"/>
        </a:xfrm>
        <a:prstGeom prst="rightBracket">
          <a:avLst>
            <a:gd name="adj" fmla="val 3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xdr:row>
      <xdr:rowOff>88900</xdr:rowOff>
    </xdr:from>
    <xdr:to>
      <xdr:col>5</xdr:col>
      <xdr:colOff>0</xdr:colOff>
      <xdr:row>8</xdr:row>
      <xdr:rowOff>76200</xdr:rowOff>
    </xdr:to>
    <xdr:sp macro="" textlink="">
      <xdr:nvSpPr>
        <xdr:cNvPr id="6841" name="Line 33">
          <a:extLst>
            <a:ext uri="{FF2B5EF4-FFF2-40B4-BE49-F238E27FC236}">
              <a16:creationId xmlns:a16="http://schemas.microsoft.com/office/drawing/2014/main" id="{2725C9B6-C12F-D545-83FE-819B215D649A}"/>
            </a:ext>
          </a:extLst>
        </xdr:cNvPr>
        <xdr:cNvSpPr>
          <a:spLocks noChangeShapeType="1"/>
        </xdr:cNvSpPr>
      </xdr:nvSpPr>
      <xdr:spPr bwMode="auto">
        <a:xfrm>
          <a:off x="3365500" y="1320800"/>
          <a:ext cx="0" cy="152400"/>
        </a:xfrm>
        <a:prstGeom prst="line">
          <a:avLst/>
        </a:prstGeom>
        <a:noFill/>
        <a:ln w="95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13</xdr:row>
      <xdr:rowOff>114300</xdr:rowOff>
    </xdr:from>
    <xdr:to>
      <xdr:col>5</xdr:col>
      <xdr:colOff>0</xdr:colOff>
      <xdr:row>18</xdr:row>
      <xdr:rowOff>50800</xdr:rowOff>
    </xdr:to>
    <xdr:sp macro="" textlink="">
      <xdr:nvSpPr>
        <xdr:cNvPr id="6842" name="Line 34">
          <a:extLst>
            <a:ext uri="{FF2B5EF4-FFF2-40B4-BE49-F238E27FC236}">
              <a16:creationId xmlns:a16="http://schemas.microsoft.com/office/drawing/2014/main" id="{11C2CD09-E628-E745-AAF6-13C3F79645ED}"/>
            </a:ext>
          </a:extLst>
        </xdr:cNvPr>
        <xdr:cNvSpPr>
          <a:spLocks noChangeShapeType="1"/>
        </xdr:cNvSpPr>
      </xdr:nvSpPr>
      <xdr:spPr bwMode="auto">
        <a:xfrm>
          <a:off x="3365500" y="2311400"/>
          <a:ext cx="0" cy="762000"/>
        </a:xfrm>
        <a:prstGeom prst="line">
          <a:avLst/>
        </a:prstGeom>
        <a:noFill/>
        <a:ln w="95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736600</xdr:colOff>
      <xdr:row>80</xdr:row>
      <xdr:rowOff>76200</xdr:rowOff>
    </xdr:from>
    <xdr:to>
      <xdr:col>11</xdr:col>
      <xdr:colOff>0</xdr:colOff>
      <xdr:row>80</xdr:row>
      <xdr:rowOff>76200</xdr:rowOff>
    </xdr:to>
    <xdr:sp macro="" textlink="">
      <xdr:nvSpPr>
        <xdr:cNvPr id="6843" name="Line 35">
          <a:extLst>
            <a:ext uri="{FF2B5EF4-FFF2-40B4-BE49-F238E27FC236}">
              <a16:creationId xmlns:a16="http://schemas.microsoft.com/office/drawing/2014/main" id="{7801D15A-5AEF-7D48-BDA8-6EC56B7E1895}"/>
            </a:ext>
          </a:extLst>
        </xdr:cNvPr>
        <xdr:cNvSpPr>
          <a:spLocks noChangeShapeType="1"/>
        </xdr:cNvSpPr>
      </xdr:nvSpPr>
      <xdr:spPr bwMode="auto">
        <a:xfrm flipH="1">
          <a:off x="6832600" y="13487400"/>
          <a:ext cx="685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139700</xdr:colOff>
      <xdr:row>32</xdr:row>
      <xdr:rowOff>76200</xdr:rowOff>
    </xdr:from>
    <xdr:to>
      <xdr:col>15</xdr:col>
      <xdr:colOff>0</xdr:colOff>
      <xdr:row>32</xdr:row>
      <xdr:rowOff>76200</xdr:rowOff>
    </xdr:to>
    <xdr:sp macro="" textlink="">
      <xdr:nvSpPr>
        <xdr:cNvPr id="6844" name="Line 36">
          <a:extLst>
            <a:ext uri="{FF2B5EF4-FFF2-40B4-BE49-F238E27FC236}">
              <a16:creationId xmlns:a16="http://schemas.microsoft.com/office/drawing/2014/main" id="{DBDC41DB-6D49-1B4F-9EA1-65C6DB558CC4}"/>
            </a:ext>
          </a:extLst>
        </xdr:cNvPr>
        <xdr:cNvSpPr>
          <a:spLocks noChangeShapeType="1"/>
        </xdr:cNvSpPr>
      </xdr:nvSpPr>
      <xdr:spPr bwMode="auto">
        <a:xfrm flipH="1">
          <a:off x="9677400" y="5422900"/>
          <a:ext cx="723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63500</xdr:colOff>
      <xdr:row>95</xdr:row>
      <xdr:rowOff>12700</xdr:rowOff>
    </xdr:from>
    <xdr:to>
      <xdr:col>10</xdr:col>
      <xdr:colOff>330200</xdr:colOff>
      <xdr:row>97</xdr:row>
      <xdr:rowOff>139700</xdr:rowOff>
    </xdr:to>
    <xdr:sp macro="" textlink="">
      <xdr:nvSpPr>
        <xdr:cNvPr id="6845" name="AutoShape 37">
          <a:extLst>
            <a:ext uri="{FF2B5EF4-FFF2-40B4-BE49-F238E27FC236}">
              <a16:creationId xmlns:a16="http://schemas.microsoft.com/office/drawing/2014/main" id="{A115FDD1-4F7C-1143-9ABA-597756F122C6}"/>
            </a:ext>
          </a:extLst>
        </xdr:cNvPr>
        <xdr:cNvSpPr>
          <a:spLocks/>
        </xdr:cNvSpPr>
      </xdr:nvSpPr>
      <xdr:spPr bwMode="auto">
        <a:xfrm>
          <a:off x="6908800" y="15900400"/>
          <a:ext cx="266700" cy="457200"/>
        </a:xfrm>
        <a:prstGeom prst="rightBrace">
          <a:avLst>
            <a:gd name="adj1" fmla="val 1428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292100</xdr:colOff>
      <xdr:row>96</xdr:row>
      <xdr:rowOff>76200</xdr:rowOff>
    </xdr:from>
    <xdr:to>
      <xdr:col>10</xdr:col>
      <xdr:colOff>660400</xdr:colOff>
      <xdr:row>96</xdr:row>
      <xdr:rowOff>76200</xdr:rowOff>
    </xdr:to>
    <xdr:sp macro="" textlink="">
      <xdr:nvSpPr>
        <xdr:cNvPr id="6846" name="Line 38">
          <a:extLst>
            <a:ext uri="{FF2B5EF4-FFF2-40B4-BE49-F238E27FC236}">
              <a16:creationId xmlns:a16="http://schemas.microsoft.com/office/drawing/2014/main" id="{CABB44AA-C525-F64A-BF29-2F75BD782BD5}"/>
            </a:ext>
          </a:extLst>
        </xdr:cNvPr>
        <xdr:cNvSpPr>
          <a:spLocks noChangeShapeType="1"/>
        </xdr:cNvSpPr>
      </xdr:nvSpPr>
      <xdr:spPr bwMode="auto">
        <a:xfrm flipH="1">
          <a:off x="7137400" y="16129000"/>
          <a:ext cx="368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63500</xdr:colOff>
      <xdr:row>84</xdr:row>
      <xdr:rowOff>12700</xdr:rowOff>
    </xdr:from>
    <xdr:to>
      <xdr:col>10</xdr:col>
      <xdr:colOff>330200</xdr:colOff>
      <xdr:row>86</xdr:row>
      <xdr:rowOff>139700</xdr:rowOff>
    </xdr:to>
    <xdr:sp macro="" textlink="">
      <xdr:nvSpPr>
        <xdr:cNvPr id="6847" name="AutoShape 40">
          <a:extLst>
            <a:ext uri="{FF2B5EF4-FFF2-40B4-BE49-F238E27FC236}">
              <a16:creationId xmlns:a16="http://schemas.microsoft.com/office/drawing/2014/main" id="{65C885C9-3E76-6E4D-8261-59BE0B3D4FF8}"/>
            </a:ext>
          </a:extLst>
        </xdr:cNvPr>
        <xdr:cNvSpPr>
          <a:spLocks/>
        </xdr:cNvSpPr>
      </xdr:nvSpPr>
      <xdr:spPr bwMode="auto">
        <a:xfrm>
          <a:off x="6908800" y="14084300"/>
          <a:ext cx="266700" cy="457200"/>
        </a:xfrm>
        <a:prstGeom prst="rightBrace">
          <a:avLst>
            <a:gd name="adj1" fmla="val 1428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342900</xdr:colOff>
      <xdr:row>85</xdr:row>
      <xdr:rowOff>63500</xdr:rowOff>
    </xdr:from>
    <xdr:to>
      <xdr:col>10</xdr:col>
      <xdr:colOff>660400</xdr:colOff>
      <xdr:row>85</xdr:row>
      <xdr:rowOff>63500</xdr:rowOff>
    </xdr:to>
    <xdr:sp macro="" textlink="">
      <xdr:nvSpPr>
        <xdr:cNvPr id="6848" name="Line 41">
          <a:extLst>
            <a:ext uri="{FF2B5EF4-FFF2-40B4-BE49-F238E27FC236}">
              <a16:creationId xmlns:a16="http://schemas.microsoft.com/office/drawing/2014/main" id="{8F3A45E4-538F-9543-8F11-6F88001757F6}"/>
            </a:ext>
          </a:extLst>
        </xdr:cNvPr>
        <xdr:cNvSpPr>
          <a:spLocks noChangeShapeType="1"/>
        </xdr:cNvSpPr>
      </xdr:nvSpPr>
      <xdr:spPr bwMode="auto">
        <a:xfrm flipH="1">
          <a:off x="7188200" y="14300200"/>
          <a:ext cx="317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355600</xdr:colOff>
      <xdr:row>35</xdr:row>
      <xdr:rowOff>12700</xdr:rowOff>
    </xdr:from>
    <xdr:to>
      <xdr:col>3</xdr:col>
      <xdr:colOff>355600</xdr:colOff>
      <xdr:row>37</xdr:row>
      <xdr:rowOff>12700</xdr:rowOff>
    </xdr:to>
    <xdr:sp macro="" textlink="">
      <xdr:nvSpPr>
        <xdr:cNvPr id="15411" name="Line 1">
          <a:extLst>
            <a:ext uri="{FF2B5EF4-FFF2-40B4-BE49-F238E27FC236}">
              <a16:creationId xmlns:a16="http://schemas.microsoft.com/office/drawing/2014/main" id="{6A1A0646-47CF-1247-A7ED-8E27F2AF7A9C}"/>
            </a:ext>
          </a:extLst>
        </xdr:cNvPr>
        <xdr:cNvSpPr>
          <a:spLocks noChangeShapeType="1"/>
        </xdr:cNvSpPr>
      </xdr:nvSpPr>
      <xdr:spPr bwMode="auto">
        <a:xfrm flipV="1">
          <a:off x="2476500" y="5918200"/>
          <a:ext cx="0" cy="330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330200</xdr:colOff>
      <xdr:row>48</xdr:row>
      <xdr:rowOff>12700</xdr:rowOff>
    </xdr:from>
    <xdr:to>
      <xdr:col>3</xdr:col>
      <xdr:colOff>342900</xdr:colOff>
      <xdr:row>50</xdr:row>
      <xdr:rowOff>0</xdr:rowOff>
    </xdr:to>
    <xdr:sp macro="" textlink="">
      <xdr:nvSpPr>
        <xdr:cNvPr id="15412" name="Line 2">
          <a:extLst>
            <a:ext uri="{FF2B5EF4-FFF2-40B4-BE49-F238E27FC236}">
              <a16:creationId xmlns:a16="http://schemas.microsoft.com/office/drawing/2014/main" id="{4A8E6645-20CA-924A-A69A-1EDA10168F83}"/>
            </a:ext>
          </a:extLst>
        </xdr:cNvPr>
        <xdr:cNvSpPr>
          <a:spLocks noChangeShapeType="1"/>
        </xdr:cNvSpPr>
      </xdr:nvSpPr>
      <xdr:spPr bwMode="auto">
        <a:xfrm flipV="1">
          <a:off x="2451100" y="8064500"/>
          <a:ext cx="12700" cy="317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419100</xdr:colOff>
      <xdr:row>20</xdr:row>
      <xdr:rowOff>88900</xdr:rowOff>
    </xdr:from>
    <xdr:to>
      <xdr:col>4</xdr:col>
      <xdr:colOff>660400</xdr:colOff>
      <xdr:row>20</xdr:row>
      <xdr:rowOff>88900</xdr:rowOff>
    </xdr:to>
    <xdr:cxnSp macro="">
      <xdr:nvCxnSpPr>
        <xdr:cNvPr id="15413" name="Straight Arrow Connector 4">
          <a:extLst>
            <a:ext uri="{FF2B5EF4-FFF2-40B4-BE49-F238E27FC236}">
              <a16:creationId xmlns:a16="http://schemas.microsoft.com/office/drawing/2014/main" id="{0E4C3D63-FEF9-E44F-A463-13ECCD43D259}"/>
            </a:ext>
          </a:extLst>
        </xdr:cNvPr>
        <xdr:cNvCxnSpPr>
          <a:cxnSpLocks noChangeShapeType="1"/>
        </xdr:cNvCxnSpPr>
      </xdr:nvCxnSpPr>
      <xdr:spPr bwMode="auto">
        <a:xfrm rot="10800000">
          <a:off x="3213100" y="3479800"/>
          <a:ext cx="24130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901700</xdr:colOff>
      <xdr:row>1</xdr:row>
      <xdr:rowOff>63500</xdr:rowOff>
    </xdr:from>
    <xdr:to>
      <xdr:col>4</xdr:col>
      <xdr:colOff>1143000</xdr:colOff>
      <xdr:row>1</xdr:row>
      <xdr:rowOff>63500</xdr:rowOff>
    </xdr:to>
    <xdr:sp macro="" textlink="">
      <xdr:nvSpPr>
        <xdr:cNvPr id="5567" name="Line 1">
          <a:extLst>
            <a:ext uri="{FF2B5EF4-FFF2-40B4-BE49-F238E27FC236}">
              <a16:creationId xmlns:a16="http://schemas.microsoft.com/office/drawing/2014/main" id="{FB30E19E-DD8C-8A47-B0F7-C5E7AE0AD370}"/>
            </a:ext>
          </a:extLst>
        </xdr:cNvPr>
        <xdr:cNvSpPr>
          <a:spLocks noChangeShapeType="1"/>
        </xdr:cNvSpPr>
      </xdr:nvSpPr>
      <xdr:spPr bwMode="auto">
        <a:xfrm flipV="1">
          <a:off x="6654800" y="304800"/>
          <a:ext cx="24130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1155700</xdr:colOff>
      <xdr:row>1</xdr:row>
      <xdr:rowOff>63500</xdr:rowOff>
    </xdr:from>
    <xdr:to>
      <xdr:col>4</xdr:col>
      <xdr:colOff>1155700</xdr:colOff>
      <xdr:row>1</xdr:row>
      <xdr:rowOff>177800</xdr:rowOff>
    </xdr:to>
    <xdr:sp macro="" textlink="">
      <xdr:nvSpPr>
        <xdr:cNvPr id="5568" name="Line 2">
          <a:extLst>
            <a:ext uri="{FF2B5EF4-FFF2-40B4-BE49-F238E27FC236}">
              <a16:creationId xmlns:a16="http://schemas.microsoft.com/office/drawing/2014/main" id="{1EED7587-9036-2F4B-83FD-1A1E5B412201}"/>
            </a:ext>
          </a:extLst>
        </xdr:cNvPr>
        <xdr:cNvSpPr>
          <a:spLocks noChangeShapeType="1"/>
        </xdr:cNvSpPr>
      </xdr:nvSpPr>
      <xdr:spPr bwMode="auto">
        <a:xfrm>
          <a:off x="6908800" y="304800"/>
          <a:ext cx="0" cy="1143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939800</xdr:colOff>
      <xdr:row>1</xdr:row>
      <xdr:rowOff>63500</xdr:rowOff>
    </xdr:from>
    <xdr:to>
      <xdr:col>5</xdr:col>
      <xdr:colOff>1155700</xdr:colOff>
      <xdr:row>1</xdr:row>
      <xdr:rowOff>63500</xdr:rowOff>
    </xdr:to>
    <xdr:sp macro="" textlink="">
      <xdr:nvSpPr>
        <xdr:cNvPr id="5569" name="Line 3">
          <a:extLst>
            <a:ext uri="{FF2B5EF4-FFF2-40B4-BE49-F238E27FC236}">
              <a16:creationId xmlns:a16="http://schemas.microsoft.com/office/drawing/2014/main" id="{86D1CBB8-86CB-EE4F-9BE3-D4588EB92CC2}"/>
            </a:ext>
          </a:extLst>
        </xdr:cNvPr>
        <xdr:cNvSpPr>
          <a:spLocks noChangeShapeType="1"/>
        </xdr:cNvSpPr>
      </xdr:nvSpPr>
      <xdr:spPr bwMode="auto">
        <a:xfrm>
          <a:off x="8267700" y="304800"/>
          <a:ext cx="215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1168400</xdr:colOff>
      <xdr:row>1</xdr:row>
      <xdr:rowOff>63500</xdr:rowOff>
    </xdr:from>
    <xdr:to>
      <xdr:col>5</xdr:col>
      <xdr:colOff>1168400</xdr:colOff>
      <xdr:row>1</xdr:row>
      <xdr:rowOff>165100</xdr:rowOff>
    </xdr:to>
    <xdr:sp macro="" textlink="">
      <xdr:nvSpPr>
        <xdr:cNvPr id="5570" name="Line 4">
          <a:extLst>
            <a:ext uri="{FF2B5EF4-FFF2-40B4-BE49-F238E27FC236}">
              <a16:creationId xmlns:a16="http://schemas.microsoft.com/office/drawing/2014/main" id="{F59432F1-5AE9-5E41-9339-44B485EFF0D6}"/>
            </a:ext>
          </a:extLst>
        </xdr:cNvPr>
        <xdr:cNvSpPr>
          <a:spLocks noChangeShapeType="1"/>
        </xdr:cNvSpPr>
      </xdr:nvSpPr>
      <xdr:spPr bwMode="auto">
        <a:xfrm>
          <a:off x="8496300" y="304800"/>
          <a:ext cx="0" cy="101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508000</xdr:colOff>
      <xdr:row>1</xdr:row>
      <xdr:rowOff>63500</xdr:rowOff>
    </xdr:from>
    <xdr:to>
      <xdr:col>7</xdr:col>
      <xdr:colOff>317500</xdr:colOff>
      <xdr:row>1</xdr:row>
      <xdr:rowOff>63500</xdr:rowOff>
    </xdr:to>
    <xdr:sp macro="" textlink="">
      <xdr:nvSpPr>
        <xdr:cNvPr id="5571" name="Line 5">
          <a:extLst>
            <a:ext uri="{FF2B5EF4-FFF2-40B4-BE49-F238E27FC236}">
              <a16:creationId xmlns:a16="http://schemas.microsoft.com/office/drawing/2014/main" id="{B3138AD5-52CF-7941-AA3A-9FF5AEE2E34F}"/>
            </a:ext>
          </a:extLst>
        </xdr:cNvPr>
        <xdr:cNvSpPr>
          <a:spLocks noChangeShapeType="1"/>
        </xdr:cNvSpPr>
      </xdr:nvSpPr>
      <xdr:spPr bwMode="auto">
        <a:xfrm>
          <a:off x="9652000" y="304800"/>
          <a:ext cx="482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317500</xdr:colOff>
      <xdr:row>1</xdr:row>
      <xdr:rowOff>63500</xdr:rowOff>
    </xdr:from>
    <xdr:to>
      <xdr:col>7</xdr:col>
      <xdr:colOff>330200</xdr:colOff>
      <xdr:row>2</xdr:row>
      <xdr:rowOff>0</xdr:rowOff>
    </xdr:to>
    <xdr:sp macro="" textlink="">
      <xdr:nvSpPr>
        <xdr:cNvPr id="5572" name="Line 6">
          <a:extLst>
            <a:ext uri="{FF2B5EF4-FFF2-40B4-BE49-F238E27FC236}">
              <a16:creationId xmlns:a16="http://schemas.microsoft.com/office/drawing/2014/main" id="{14EBFC89-9F5B-674F-8967-B7D362DD17FA}"/>
            </a:ext>
          </a:extLst>
        </xdr:cNvPr>
        <xdr:cNvSpPr>
          <a:spLocks noChangeShapeType="1"/>
        </xdr:cNvSpPr>
      </xdr:nvSpPr>
      <xdr:spPr bwMode="auto">
        <a:xfrm>
          <a:off x="10134600" y="304800"/>
          <a:ext cx="12700" cy="114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901700</xdr:colOff>
      <xdr:row>28</xdr:row>
      <xdr:rowOff>63500</xdr:rowOff>
    </xdr:from>
    <xdr:to>
      <xdr:col>4</xdr:col>
      <xdr:colOff>1143000</xdr:colOff>
      <xdr:row>28</xdr:row>
      <xdr:rowOff>63500</xdr:rowOff>
    </xdr:to>
    <xdr:sp macro="" textlink="">
      <xdr:nvSpPr>
        <xdr:cNvPr id="5573" name="Line 7">
          <a:extLst>
            <a:ext uri="{FF2B5EF4-FFF2-40B4-BE49-F238E27FC236}">
              <a16:creationId xmlns:a16="http://schemas.microsoft.com/office/drawing/2014/main" id="{1D79E37E-0111-8C4B-9226-2A319654A23A}"/>
            </a:ext>
          </a:extLst>
        </xdr:cNvPr>
        <xdr:cNvSpPr>
          <a:spLocks noChangeShapeType="1"/>
        </xdr:cNvSpPr>
      </xdr:nvSpPr>
      <xdr:spPr bwMode="auto">
        <a:xfrm flipV="1">
          <a:off x="6654800" y="5664200"/>
          <a:ext cx="24130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1155700</xdr:colOff>
      <xdr:row>28</xdr:row>
      <xdr:rowOff>63500</xdr:rowOff>
    </xdr:from>
    <xdr:to>
      <xdr:col>4</xdr:col>
      <xdr:colOff>1155700</xdr:colOff>
      <xdr:row>28</xdr:row>
      <xdr:rowOff>177800</xdr:rowOff>
    </xdr:to>
    <xdr:sp macro="" textlink="">
      <xdr:nvSpPr>
        <xdr:cNvPr id="5574" name="Line 8">
          <a:extLst>
            <a:ext uri="{FF2B5EF4-FFF2-40B4-BE49-F238E27FC236}">
              <a16:creationId xmlns:a16="http://schemas.microsoft.com/office/drawing/2014/main" id="{EE4F673A-A25C-6740-BC86-BC0CABCBFCFC}"/>
            </a:ext>
          </a:extLst>
        </xdr:cNvPr>
        <xdr:cNvSpPr>
          <a:spLocks noChangeShapeType="1"/>
        </xdr:cNvSpPr>
      </xdr:nvSpPr>
      <xdr:spPr bwMode="auto">
        <a:xfrm>
          <a:off x="6908800" y="5664200"/>
          <a:ext cx="0" cy="1143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939800</xdr:colOff>
      <xdr:row>28</xdr:row>
      <xdr:rowOff>63500</xdr:rowOff>
    </xdr:from>
    <xdr:to>
      <xdr:col>5</xdr:col>
      <xdr:colOff>1155700</xdr:colOff>
      <xdr:row>28</xdr:row>
      <xdr:rowOff>63500</xdr:rowOff>
    </xdr:to>
    <xdr:sp macro="" textlink="">
      <xdr:nvSpPr>
        <xdr:cNvPr id="5575" name="Line 9">
          <a:extLst>
            <a:ext uri="{FF2B5EF4-FFF2-40B4-BE49-F238E27FC236}">
              <a16:creationId xmlns:a16="http://schemas.microsoft.com/office/drawing/2014/main" id="{FB365928-6D97-714D-BD08-9B5EF1C2B3BC}"/>
            </a:ext>
          </a:extLst>
        </xdr:cNvPr>
        <xdr:cNvSpPr>
          <a:spLocks noChangeShapeType="1"/>
        </xdr:cNvSpPr>
      </xdr:nvSpPr>
      <xdr:spPr bwMode="auto">
        <a:xfrm>
          <a:off x="8267700" y="5664200"/>
          <a:ext cx="215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1168400</xdr:colOff>
      <xdr:row>28</xdr:row>
      <xdr:rowOff>63500</xdr:rowOff>
    </xdr:from>
    <xdr:to>
      <xdr:col>5</xdr:col>
      <xdr:colOff>1168400</xdr:colOff>
      <xdr:row>28</xdr:row>
      <xdr:rowOff>165100</xdr:rowOff>
    </xdr:to>
    <xdr:sp macro="" textlink="">
      <xdr:nvSpPr>
        <xdr:cNvPr id="5576" name="Line 10">
          <a:extLst>
            <a:ext uri="{FF2B5EF4-FFF2-40B4-BE49-F238E27FC236}">
              <a16:creationId xmlns:a16="http://schemas.microsoft.com/office/drawing/2014/main" id="{9CAE6AB1-5CCB-D64A-AFB5-3A3933451DF3}"/>
            </a:ext>
          </a:extLst>
        </xdr:cNvPr>
        <xdr:cNvSpPr>
          <a:spLocks noChangeShapeType="1"/>
        </xdr:cNvSpPr>
      </xdr:nvSpPr>
      <xdr:spPr bwMode="auto">
        <a:xfrm>
          <a:off x="8496300" y="5664200"/>
          <a:ext cx="0" cy="101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508000</xdr:colOff>
      <xdr:row>28</xdr:row>
      <xdr:rowOff>63500</xdr:rowOff>
    </xdr:from>
    <xdr:to>
      <xdr:col>7</xdr:col>
      <xdr:colOff>317500</xdr:colOff>
      <xdr:row>28</xdr:row>
      <xdr:rowOff>63500</xdr:rowOff>
    </xdr:to>
    <xdr:sp macro="" textlink="">
      <xdr:nvSpPr>
        <xdr:cNvPr id="5577" name="Line 11">
          <a:extLst>
            <a:ext uri="{FF2B5EF4-FFF2-40B4-BE49-F238E27FC236}">
              <a16:creationId xmlns:a16="http://schemas.microsoft.com/office/drawing/2014/main" id="{5DFAF1A6-3BED-0E4E-B37B-4FEE2502D972}"/>
            </a:ext>
          </a:extLst>
        </xdr:cNvPr>
        <xdr:cNvSpPr>
          <a:spLocks noChangeShapeType="1"/>
        </xdr:cNvSpPr>
      </xdr:nvSpPr>
      <xdr:spPr bwMode="auto">
        <a:xfrm>
          <a:off x="9652000" y="5664200"/>
          <a:ext cx="482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317500</xdr:colOff>
      <xdr:row>28</xdr:row>
      <xdr:rowOff>63500</xdr:rowOff>
    </xdr:from>
    <xdr:to>
      <xdr:col>7</xdr:col>
      <xdr:colOff>330200</xdr:colOff>
      <xdr:row>29</xdr:row>
      <xdr:rowOff>0</xdr:rowOff>
    </xdr:to>
    <xdr:sp macro="" textlink="">
      <xdr:nvSpPr>
        <xdr:cNvPr id="5578" name="Line 12">
          <a:extLst>
            <a:ext uri="{FF2B5EF4-FFF2-40B4-BE49-F238E27FC236}">
              <a16:creationId xmlns:a16="http://schemas.microsoft.com/office/drawing/2014/main" id="{7C8A282B-FBC5-7240-BF04-0565FA1A214A}"/>
            </a:ext>
          </a:extLst>
        </xdr:cNvPr>
        <xdr:cNvSpPr>
          <a:spLocks noChangeShapeType="1"/>
        </xdr:cNvSpPr>
      </xdr:nvSpPr>
      <xdr:spPr bwMode="auto">
        <a:xfrm>
          <a:off x="10134600" y="5664200"/>
          <a:ext cx="12700" cy="114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2667000</xdr:colOff>
      <xdr:row>51</xdr:row>
      <xdr:rowOff>88900</xdr:rowOff>
    </xdr:from>
    <xdr:to>
      <xdr:col>4</xdr:col>
      <xdr:colOff>749300</xdr:colOff>
      <xdr:row>51</xdr:row>
      <xdr:rowOff>88900</xdr:rowOff>
    </xdr:to>
    <xdr:sp macro="" textlink="">
      <xdr:nvSpPr>
        <xdr:cNvPr id="5579" name="Line 13">
          <a:extLst>
            <a:ext uri="{FF2B5EF4-FFF2-40B4-BE49-F238E27FC236}">
              <a16:creationId xmlns:a16="http://schemas.microsoft.com/office/drawing/2014/main" id="{398D3176-9D82-E44A-8076-D92C63B3B956}"/>
            </a:ext>
          </a:extLst>
        </xdr:cNvPr>
        <xdr:cNvSpPr>
          <a:spLocks noChangeShapeType="1"/>
        </xdr:cNvSpPr>
      </xdr:nvSpPr>
      <xdr:spPr bwMode="auto">
        <a:xfrm>
          <a:off x="5588000" y="10337800"/>
          <a:ext cx="91440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762000</xdr:colOff>
      <xdr:row>51</xdr:row>
      <xdr:rowOff>88900</xdr:rowOff>
    </xdr:from>
    <xdr:to>
      <xdr:col>4</xdr:col>
      <xdr:colOff>762000</xdr:colOff>
      <xdr:row>52</xdr:row>
      <xdr:rowOff>12700</xdr:rowOff>
    </xdr:to>
    <xdr:sp macro="" textlink="">
      <xdr:nvSpPr>
        <xdr:cNvPr id="5580" name="Line 14">
          <a:extLst>
            <a:ext uri="{FF2B5EF4-FFF2-40B4-BE49-F238E27FC236}">
              <a16:creationId xmlns:a16="http://schemas.microsoft.com/office/drawing/2014/main" id="{83BAC946-06DF-B345-9F62-07D236E7420E}"/>
            </a:ext>
          </a:extLst>
        </xdr:cNvPr>
        <xdr:cNvSpPr>
          <a:spLocks noChangeShapeType="1"/>
        </xdr:cNvSpPr>
      </xdr:nvSpPr>
      <xdr:spPr bwMode="auto">
        <a:xfrm>
          <a:off x="6515100" y="10337800"/>
          <a:ext cx="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2667000</xdr:colOff>
      <xdr:row>23</xdr:row>
      <xdr:rowOff>88900</xdr:rowOff>
    </xdr:from>
    <xdr:to>
      <xdr:col>4</xdr:col>
      <xdr:colOff>749300</xdr:colOff>
      <xdr:row>23</xdr:row>
      <xdr:rowOff>88900</xdr:rowOff>
    </xdr:to>
    <xdr:sp macro="" textlink="">
      <xdr:nvSpPr>
        <xdr:cNvPr id="5581" name="Line 15">
          <a:extLst>
            <a:ext uri="{FF2B5EF4-FFF2-40B4-BE49-F238E27FC236}">
              <a16:creationId xmlns:a16="http://schemas.microsoft.com/office/drawing/2014/main" id="{F022E670-B02D-5D4F-9CE8-B6D863BD57F0}"/>
            </a:ext>
          </a:extLst>
        </xdr:cNvPr>
        <xdr:cNvSpPr>
          <a:spLocks noChangeShapeType="1"/>
        </xdr:cNvSpPr>
      </xdr:nvSpPr>
      <xdr:spPr bwMode="auto">
        <a:xfrm>
          <a:off x="5588000" y="4775200"/>
          <a:ext cx="91440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762000</xdr:colOff>
      <xdr:row>23</xdr:row>
      <xdr:rowOff>88900</xdr:rowOff>
    </xdr:from>
    <xdr:to>
      <xdr:col>4</xdr:col>
      <xdr:colOff>762000</xdr:colOff>
      <xdr:row>24</xdr:row>
      <xdr:rowOff>0</xdr:rowOff>
    </xdr:to>
    <xdr:sp macro="" textlink="">
      <xdr:nvSpPr>
        <xdr:cNvPr id="5582" name="Line 16">
          <a:extLst>
            <a:ext uri="{FF2B5EF4-FFF2-40B4-BE49-F238E27FC236}">
              <a16:creationId xmlns:a16="http://schemas.microsoft.com/office/drawing/2014/main" id="{6D2638DA-574A-C84D-9ED8-2071C1D25257}"/>
            </a:ext>
          </a:extLst>
        </xdr:cNvPr>
        <xdr:cNvSpPr>
          <a:spLocks noChangeShapeType="1"/>
        </xdr:cNvSpPr>
      </xdr:nvSpPr>
      <xdr:spPr bwMode="auto">
        <a:xfrm>
          <a:off x="6515100" y="4775200"/>
          <a:ext cx="0" cy="889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1231900</xdr:colOff>
      <xdr:row>25</xdr:row>
      <xdr:rowOff>165100</xdr:rowOff>
    </xdr:from>
    <xdr:to>
      <xdr:col>2</xdr:col>
      <xdr:colOff>1231900</xdr:colOff>
      <xdr:row>27</xdr:row>
      <xdr:rowOff>0</xdr:rowOff>
    </xdr:to>
    <xdr:sp macro="" textlink="">
      <xdr:nvSpPr>
        <xdr:cNvPr id="5583" name="Line 17">
          <a:extLst>
            <a:ext uri="{FF2B5EF4-FFF2-40B4-BE49-F238E27FC236}">
              <a16:creationId xmlns:a16="http://schemas.microsoft.com/office/drawing/2014/main" id="{5597B0E0-84BC-834A-9C4D-1F81BF39D952}"/>
            </a:ext>
          </a:extLst>
        </xdr:cNvPr>
        <xdr:cNvSpPr>
          <a:spLocks noChangeShapeType="1"/>
        </xdr:cNvSpPr>
      </xdr:nvSpPr>
      <xdr:spPr bwMode="auto">
        <a:xfrm flipV="1">
          <a:off x="2578100" y="5245100"/>
          <a:ext cx="0" cy="1905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1308100</xdr:colOff>
      <xdr:row>25</xdr:row>
      <xdr:rowOff>165100</xdr:rowOff>
    </xdr:from>
    <xdr:to>
      <xdr:col>4</xdr:col>
      <xdr:colOff>1308100</xdr:colOff>
      <xdr:row>27</xdr:row>
      <xdr:rowOff>0</xdr:rowOff>
    </xdr:to>
    <xdr:sp macro="" textlink="">
      <xdr:nvSpPr>
        <xdr:cNvPr id="5584" name="Line 18">
          <a:extLst>
            <a:ext uri="{FF2B5EF4-FFF2-40B4-BE49-F238E27FC236}">
              <a16:creationId xmlns:a16="http://schemas.microsoft.com/office/drawing/2014/main" id="{4244F6C9-28E6-EE46-9F5D-835F81B8B4EE}"/>
            </a:ext>
          </a:extLst>
        </xdr:cNvPr>
        <xdr:cNvSpPr>
          <a:spLocks noChangeShapeType="1"/>
        </xdr:cNvSpPr>
      </xdr:nvSpPr>
      <xdr:spPr bwMode="auto">
        <a:xfrm>
          <a:off x="7061200" y="5245100"/>
          <a:ext cx="0" cy="1905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139700</xdr:rowOff>
    </xdr:from>
    <xdr:to>
      <xdr:col>5</xdr:col>
      <xdr:colOff>1460500</xdr:colOff>
      <xdr:row>89</xdr:row>
      <xdr:rowOff>101600</xdr:rowOff>
    </xdr:to>
    <xdr:pic>
      <xdr:nvPicPr>
        <xdr:cNvPr id="5585" name="Picture 24" descr="SAVE0051">
          <a:extLst>
            <a:ext uri="{FF2B5EF4-FFF2-40B4-BE49-F238E27FC236}">
              <a16:creationId xmlns:a16="http://schemas.microsoft.com/office/drawing/2014/main" id="{FC433FBE-B37B-B14A-B040-7055EAC77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112500"/>
          <a:ext cx="8788400" cy="5575300"/>
        </a:xfrm>
        <a:prstGeom prst="rect">
          <a:avLst/>
        </a:prstGeom>
        <a:noFill/>
        <a:ln w="3175">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xdr:colOff>
      <xdr:row>58</xdr:row>
      <xdr:rowOff>63500</xdr:rowOff>
    </xdr:from>
    <xdr:to>
      <xdr:col>5</xdr:col>
      <xdr:colOff>774700</xdr:colOff>
      <xdr:row>87</xdr:row>
      <xdr:rowOff>63500</xdr:rowOff>
    </xdr:to>
    <xdr:sp macro="" textlink="">
      <xdr:nvSpPr>
        <xdr:cNvPr id="5586" name="Rectangle 25">
          <a:extLst>
            <a:ext uri="{FF2B5EF4-FFF2-40B4-BE49-F238E27FC236}">
              <a16:creationId xmlns:a16="http://schemas.microsoft.com/office/drawing/2014/main" id="{A5250A4B-C5CC-9940-AF7D-550472861565}"/>
            </a:ext>
          </a:extLst>
        </xdr:cNvPr>
        <xdr:cNvSpPr>
          <a:spLocks noChangeArrowheads="1"/>
        </xdr:cNvSpPr>
      </xdr:nvSpPr>
      <xdr:spPr bwMode="auto">
        <a:xfrm>
          <a:off x="1422400" y="11531600"/>
          <a:ext cx="6680200" cy="478790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1828800</xdr:colOff>
      <xdr:row>91</xdr:row>
      <xdr:rowOff>0</xdr:rowOff>
    </xdr:from>
    <xdr:to>
      <xdr:col>3</xdr:col>
      <xdr:colOff>1917700</xdr:colOff>
      <xdr:row>92</xdr:row>
      <xdr:rowOff>38100</xdr:rowOff>
    </xdr:to>
    <xdr:sp macro="" textlink="">
      <xdr:nvSpPr>
        <xdr:cNvPr id="5587" name="Text Box 26">
          <a:extLst>
            <a:ext uri="{FF2B5EF4-FFF2-40B4-BE49-F238E27FC236}">
              <a16:creationId xmlns:a16="http://schemas.microsoft.com/office/drawing/2014/main" id="{227DFC41-8630-C346-B6F6-A80561C79F1E}"/>
            </a:ext>
          </a:extLst>
        </xdr:cNvPr>
        <xdr:cNvSpPr txBox="1">
          <a:spLocks noChangeArrowheads="1"/>
        </xdr:cNvSpPr>
      </xdr:nvSpPr>
      <xdr:spPr bwMode="auto">
        <a:xfrm>
          <a:off x="4749800" y="16916400"/>
          <a:ext cx="88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1346200</xdr:colOff>
      <xdr:row>88</xdr:row>
      <xdr:rowOff>95250</xdr:rowOff>
    </xdr:from>
    <xdr:ext cx="840595" cy="234167"/>
    <xdr:sp macro="" textlink="">
      <xdr:nvSpPr>
        <xdr:cNvPr id="5147" name="Text Box 27">
          <a:extLst>
            <a:ext uri="{FF2B5EF4-FFF2-40B4-BE49-F238E27FC236}">
              <a16:creationId xmlns:a16="http://schemas.microsoft.com/office/drawing/2014/main" id="{AD34F001-5C91-6644-8F27-4ACB37658CD9}"/>
            </a:ext>
          </a:extLst>
        </xdr:cNvPr>
        <xdr:cNvSpPr txBox="1">
          <a:spLocks noChangeArrowheads="1"/>
        </xdr:cNvSpPr>
      </xdr:nvSpPr>
      <xdr:spPr bwMode="auto">
        <a:xfrm>
          <a:off x="3781425" y="15821025"/>
          <a:ext cx="725968" cy="234167"/>
        </a:xfrm>
        <a:prstGeom prst="rect">
          <a:avLst/>
        </a:prstGeom>
        <a:noFill/>
        <a:ln w="9525">
          <a:noFill/>
          <a:miter lim="800000"/>
          <a:headEnd/>
          <a:tailEnd/>
        </a:ln>
      </xdr:spPr>
      <xdr:txBody>
        <a:bodyPr wrap="none" lIns="27432" tIns="27432" rIns="0" bIns="0" anchor="t" upright="1">
          <a:spAutoFit/>
        </a:bodyPr>
        <a:lstStyle/>
        <a:p>
          <a:pPr algn="l" rtl="1">
            <a:defRPr sz="1000"/>
          </a:pPr>
          <a:r>
            <a:rPr lang="en-US" sz="1400" b="1" i="0" strike="noStrike">
              <a:solidFill>
                <a:srgbClr val="000000"/>
              </a:solidFill>
              <a:latin typeface="Arial"/>
              <a:cs typeface="Arial"/>
            </a:rPr>
            <a:t>Figure 1</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3</xdr:col>
      <xdr:colOff>0</xdr:colOff>
      <xdr:row>46</xdr:row>
      <xdr:rowOff>76200</xdr:rowOff>
    </xdr:from>
    <xdr:to>
      <xdr:col>3</xdr:col>
      <xdr:colOff>1358900</xdr:colOff>
      <xdr:row>46</xdr:row>
      <xdr:rowOff>76200</xdr:rowOff>
    </xdr:to>
    <xdr:sp macro="" textlink="">
      <xdr:nvSpPr>
        <xdr:cNvPr id="4128" name="Line 6">
          <a:extLst>
            <a:ext uri="{FF2B5EF4-FFF2-40B4-BE49-F238E27FC236}">
              <a16:creationId xmlns:a16="http://schemas.microsoft.com/office/drawing/2014/main" id="{EE95A96F-E682-6E4E-86DC-F255DB5002DD}"/>
            </a:ext>
          </a:extLst>
        </xdr:cNvPr>
        <xdr:cNvSpPr>
          <a:spLocks noChangeShapeType="1"/>
        </xdr:cNvSpPr>
      </xdr:nvSpPr>
      <xdr:spPr bwMode="auto">
        <a:xfrm flipH="1">
          <a:off x="4965700" y="7848600"/>
          <a:ext cx="1358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1092200</xdr:colOff>
      <xdr:row>1</xdr:row>
      <xdr:rowOff>0</xdr:rowOff>
    </xdr:from>
    <xdr:to>
      <xdr:col>2</xdr:col>
      <xdr:colOff>25400</xdr:colOff>
      <xdr:row>1</xdr:row>
      <xdr:rowOff>203200</xdr:rowOff>
    </xdr:to>
    <xdr:sp macro="" textlink="">
      <xdr:nvSpPr>
        <xdr:cNvPr id="16415" name="Text Box 7">
          <a:extLst>
            <a:ext uri="{FF2B5EF4-FFF2-40B4-BE49-F238E27FC236}">
              <a16:creationId xmlns:a16="http://schemas.microsoft.com/office/drawing/2014/main" id="{19A64DF8-7994-6347-81CE-B6DF321910AD}"/>
            </a:ext>
          </a:extLst>
        </xdr:cNvPr>
        <xdr:cNvSpPr txBox="1">
          <a:spLocks noChangeArrowheads="1"/>
        </xdr:cNvSpPr>
      </xdr:nvSpPr>
      <xdr:spPr bwMode="auto">
        <a:xfrm>
          <a:off x="4140200" y="228600"/>
          <a:ext cx="88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25400</xdr:colOff>
      <xdr:row>11</xdr:row>
      <xdr:rowOff>0</xdr:rowOff>
    </xdr:from>
    <xdr:to>
      <xdr:col>4</xdr:col>
      <xdr:colOff>0</xdr:colOff>
      <xdr:row>15</xdr:row>
      <xdr:rowOff>0</xdr:rowOff>
    </xdr:to>
    <xdr:sp macro="" textlink="">
      <xdr:nvSpPr>
        <xdr:cNvPr id="84702" name="Rectangle 1">
          <a:extLst>
            <a:ext uri="{FF2B5EF4-FFF2-40B4-BE49-F238E27FC236}">
              <a16:creationId xmlns:a16="http://schemas.microsoft.com/office/drawing/2014/main" id="{A3727742-373C-0A40-BE35-D5C71CDD60E5}"/>
            </a:ext>
          </a:extLst>
        </xdr:cNvPr>
        <xdr:cNvSpPr>
          <a:spLocks noChangeArrowheads="1"/>
        </xdr:cNvSpPr>
      </xdr:nvSpPr>
      <xdr:spPr bwMode="auto">
        <a:xfrm>
          <a:off x="1663700" y="1968500"/>
          <a:ext cx="1473200" cy="698500"/>
        </a:xfrm>
        <a:prstGeom prst="rect">
          <a:avLst/>
        </a:prstGeom>
        <a:solidFill>
          <a:srgbClr val="99CCFF"/>
        </a:solidFill>
        <a:ln w="19050">
          <a:solidFill>
            <a:srgbClr val="000000"/>
          </a:solidFill>
          <a:miter lim="800000"/>
          <a:headEnd/>
          <a:tailEnd/>
        </a:ln>
      </xdr:spPr>
    </xdr:sp>
    <xdr:clientData/>
  </xdr:twoCellAnchor>
  <xdr:twoCellAnchor>
    <xdr:from>
      <xdr:col>2</xdr:col>
      <xdr:colOff>0</xdr:colOff>
      <xdr:row>17</xdr:row>
      <xdr:rowOff>12700</xdr:rowOff>
    </xdr:from>
    <xdr:to>
      <xdr:col>3</xdr:col>
      <xdr:colOff>673100</xdr:colOff>
      <xdr:row>21</xdr:row>
      <xdr:rowOff>12700</xdr:rowOff>
    </xdr:to>
    <xdr:sp macro="" textlink="">
      <xdr:nvSpPr>
        <xdr:cNvPr id="84703" name="Rectangle 2">
          <a:extLst>
            <a:ext uri="{FF2B5EF4-FFF2-40B4-BE49-F238E27FC236}">
              <a16:creationId xmlns:a16="http://schemas.microsoft.com/office/drawing/2014/main" id="{FDC50E88-515B-9C4A-86E9-88F0BEF4D4F1}"/>
            </a:ext>
          </a:extLst>
        </xdr:cNvPr>
        <xdr:cNvSpPr>
          <a:spLocks noChangeArrowheads="1"/>
        </xdr:cNvSpPr>
      </xdr:nvSpPr>
      <xdr:spPr bwMode="auto">
        <a:xfrm>
          <a:off x="1638300" y="3009900"/>
          <a:ext cx="1384300" cy="660400"/>
        </a:xfrm>
        <a:prstGeom prst="rect">
          <a:avLst/>
        </a:prstGeom>
        <a:solidFill>
          <a:srgbClr val="99CCFF"/>
        </a:solidFill>
        <a:ln w="19050">
          <a:solidFill>
            <a:srgbClr val="000000"/>
          </a:solidFill>
          <a:miter lim="800000"/>
          <a:headEnd/>
          <a:tailEnd/>
        </a:ln>
      </xdr:spPr>
    </xdr:sp>
    <xdr:clientData/>
  </xdr:twoCellAnchor>
  <xdr:twoCellAnchor>
    <xdr:from>
      <xdr:col>2</xdr:col>
      <xdr:colOff>9525</xdr:colOff>
      <xdr:row>23</xdr:row>
      <xdr:rowOff>9525</xdr:rowOff>
    </xdr:from>
    <xdr:to>
      <xdr:col>3</xdr:col>
      <xdr:colOff>689411</xdr:colOff>
      <xdr:row>27</xdr:row>
      <xdr:rowOff>9525</xdr:rowOff>
    </xdr:to>
    <xdr:sp macro="" textlink="">
      <xdr:nvSpPr>
        <xdr:cNvPr id="17411" name="Rectangle 3">
          <a:extLst>
            <a:ext uri="{FF2B5EF4-FFF2-40B4-BE49-F238E27FC236}">
              <a16:creationId xmlns:a16="http://schemas.microsoft.com/office/drawing/2014/main" id="{346BA549-1026-EE4E-BAC0-36F868EDC48A}"/>
            </a:ext>
          </a:extLst>
        </xdr:cNvPr>
        <xdr:cNvSpPr>
          <a:spLocks noChangeArrowheads="1"/>
        </xdr:cNvSpPr>
      </xdr:nvSpPr>
      <xdr:spPr bwMode="auto">
        <a:xfrm>
          <a:off x="1466850" y="3914775"/>
          <a:ext cx="1209675" cy="6477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endParaRPr lang="en-US" sz="1000" b="0" i="0" strike="noStrike">
            <a:solidFill>
              <a:srgbClr val="000000"/>
            </a:solidFill>
            <a:latin typeface="Arial"/>
            <a:cs typeface="Arial"/>
          </a:endParaRPr>
        </a:p>
        <a:p>
          <a:pPr algn="ctr" rtl="1">
            <a:defRPr sz="1000"/>
          </a:pPr>
          <a:endParaRPr lang="en-US" sz="1000" b="1" i="0" strike="noStrike">
            <a:solidFill>
              <a:srgbClr val="000000"/>
            </a:solidFill>
            <a:latin typeface="Arial"/>
            <a:cs typeface="Arial"/>
          </a:endParaRPr>
        </a:p>
        <a:p>
          <a:pPr algn="ctr" rtl="1">
            <a:defRPr sz="1000"/>
          </a:pPr>
          <a:endParaRPr lang="en-US" sz="1000" b="1" i="0" strike="noStrike">
            <a:solidFill>
              <a:srgbClr val="000000"/>
            </a:solidFill>
            <a:latin typeface="Arial"/>
            <a:cs typeface="Arial"/>
          </a:endParaRPr>
        </a:p>
        <a:p>
          <a:pPr algn="ctr" rtl="1">
            <a:defRPr sz="1000"/>
          </a:pPr>
          <a:endParaRPr lang="en-US" sz="1000" b="1" i="0" strike="noStrike">
            <a:solidFill>
              <a:srgbClr val="000000"/>
            </a:solidFill>
            <a:latin typeface="Arial"/>
            <a:cs typeface="Arial"/>
          </a:endParaRPr>
        </a:p>
      </xdr:txBody>
    </xdr:sp>
    <xdr:clientData/>
  </xdr:twoCellAnchor>
  <xdr:twoCellAnchor>
    <xdr:from>
      <xdr:col>2</xdr:col>
      <xdr:colOff>279400</xdr:colOff>
      <xdr:row>36</xdr:row>
      <xdr:rowOff>25400</xdr:rowOff>
    </xdr:from>
    <xdr:to>
      <xdr:col>3</xdr:col>
      <xdr:colOff>431800</xdr:colOff>
      <xdr:row>39</xdr:row>
      <xdr:rowOff>139700</xdr:rowOff>
    </xdr:to>
    <xdr:sp macro="" textlink="">
      <xdr:nvSpPr>
        <xdr:cNvPr id="84705" name="AutoShape 4">
          <a:extLst>
            <a:ext uri="{FF2B5EF4-FFF2-40B4-BE49-F238E27FC236}">
              <a16:creationId xmlns:a16="http://schemas.microsoft.com/office/drawing/2014/main" id="{47A74939-8442-4B41-BC28-10B06A25EE4A}"/>
            </a:ext>
          </a:extLst>
        </xdr:cNvPr>
        <xdr:cNvSpPr>
          <a:spLocks noChangeArrowheads="1"/>
        </xdr:cNvSpPr>
      </xdr:nvSpPr>
      <xdr:spPr bwMode="auto">
        <a:xfrm>
          <a:off x="1917700" y="6159500"/>
          <a:ext cx="863600" cy="609600"/>
        </a:xfrm>
        <a:prstGeom prst="triangle">
          <a:avLst>
            <a:gd name="adj" fmla="val 50000"/>
          </a:avLst>
        </a:prstGeom>
        <a:solidFill>
          <a:srgbClr val="99CCFF"/>
        </a:solidFill>
        <a:ln w="19050">
          <a:solidFill>
            <a:srgbClr val="000000"/>
          </a:solidFill>
          <a:miter lim="800000"/>
          <a:headEnd/>
          <a:tailEnd/>
        </a:ln>
      </xdr:spPr>
    </xdr:sp>
    <xdr:clientData/>
  </xdr:twoCellAnchor>
  <xdr:twoCellAnchor>
    <xdr:from>
      <xdr:col>2</xdr:col>
      <xdr:colOff>136525</xdr:colOff>
      <xdr:row>42</xdr:row>
      <xdr:rowOff>0</xdr:rowOff>
    </xdr:from>
    <xdr:to>
      <xdr:col>3</xdr:col>
      <xdr:colOff>530225</xdr:colOff>
      <xdr:row>46</xdr:row>
      <xdr:rowOff>152400</xdr:rowOff>
    </xdr:to>
    <xdr:sp macro="" textlink="">
      <xdr:nvSpPr>
        <xdr:cNvPr id="17413" name="AutoShape 5">
          <a:extLst>
            <a:ext uri="{FF2B5EF4-FFF2-40B4-BE49-F238E27FC236}">
              <a16:creationId xmlns:a16="http://schemas.microsoft.com/office/drawing/2014/main" id="{E363AA4C-53C3-324C-B270-2F8F7B7B3F8E}"/>
            </a:ext>
          </a:extLst>
        </xdr:cNvPr>
        <xdr:cNvSpPr>
          <a:spLocks noChangeArrowheads="1"/>
        </xdr:cNvSpPr>
      </xdr:nvSpPr>
      <xdr:spPr bwMode="auto">
        <a:xfrm>
          <a:off x="1581150" y="6981825"/>
          <a:ext cx="962025" cy="800100"/>
        </a:xfrm>
        <a:prstGeom prst="triangle">
          <a:avLst>
            <a:gd name="adj" fmla="val 50000"/>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LNA</a:t>
          </a:r>
        </a:p>
      </xdr:txBody>
    </xdr:sp>
    <xdr:clientData/>
  </xdr:twoCellAnchor>
  <xdr:twoCellAnchor>
    <xdr:from>
      <xdr:col>2</xdr:col>
      <xdr:colOff>0</xdr:colOff>
      <xdr:row>29</xdr:row>
      <xdr:rowOff>9525</xdr:rowOff>
    </xdr:from>
    <xdr:to>
      <xdr:col>3</xdr:col>
      <xdr:colOff>666380</xdr:colOff>
      <xdr:row>33</xdr:row>
      <xdr:rowOff>9525</xdr:rowOff>
    </xdr:to>
    <xdr:sp macro="" textlink="">
      <xdr:nvSpPr>
        <xdr:cNvPr id="17414" name="Rectangle 6">
          <a:extLst>
            <a:ext uri="{FF2B5EF4-FFF2-40B4-BE49-F238E27FC236}">
              <a16:creationId xmlns:a16="http://schemas.microsoft.com/office/drawing/2014/main" id="{E96C8EF4-51A9-0F4D-BD54-2D6E1423CA1A}"/>
            </a:ext>
          </a:extLst>
        </xdr:cNvPr>
        <xdr:cNvSpPr>
          <a:spLocks noChangeArrowheads="1"/>
        </xdr:cNvSpPr>
      </xdr:nvSpPr>
      <xdr:spPr bwMode="auto">
        <a:xfrm>
          <a:off x="1457325" y="4886325"/>
          <a:ext cx="1209675" cy="6477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Downconverters</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Mixers</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IF</a:t>
          </a:r>
          <a:r>
            <a:rPr lang="en-US" sz="1000" b="0" i="0" strike="noStrike">
              <a:solidFill>
                <a:srgbClr val="000000"/>
              </a:solidFill>
              <a:latin typeface="Arial"/>
              <a:cs typeface="Arial"/>
            </a:rPr>
            <a:t> </a:t>
          </a:r>
          <a:r>
            <a:rPr lang="en-US" sz="1000" b="1" i="0" strike="noStrike">
              <a:solidFill>
                <a:srgbClr val="000000"/>
              </a:solidFill>
              <a:latin typeface="Arial"/>
              <a:cs typeface="Arial"/>
            </a:rPr>
            <a:t>Amplification</a:t>
          </a:r>
        </a:p>
      </xdr:txBody>
    </xdr:sp>
    <xdr:clientData/>
  </xdr:twoCellAnchor>
  <xdr:twoCellAnchor>
    <xdr:from>
      <xdr:col>2</xdr:col>
      <xdr:colOff>0</xdr:colOff>
      <xdr:row>50</xdr:row>
      <xdr:rowOff>152400</xdr:rowOff>
    </xdr:from>
    <xdr:to>
      <xdr:col>4</xdr:col>
      <xdr:colOff>9525</xdr:colOff>
      <xdr:row>54</xdr:row>
      <xdr:rowOff>0</xdr:rowOff>
    </xdr:to>
    <xdr:sp macro="" textlink="">
      <xdr:nvSpPr>
        <xdr:cNvPr id="17415" name="Rectangle 7">
          <a:extLst>
            <a:ext uri="{FF2B5EF4-FFF2-40B4-BE49-F238E27FC236}">
              <a16:creationId xmlns:a16="http://schemas.microsoft.com/office/drawing/2014/main" id="{97B4BAFB-67FA-9C47-9228-A55C3267EB1C}"/>
            </a:ext>
          </a:extLst>
        </xdr:cNvPr>
        <xdr:cNvSpPr>
          <a:spLocks noChangeArrowheads="1"/>
        </xdr:cNvSpPr>
      </xdr:nvSpPr>
      <xdr:spPr bwMode="auto">
        <a:xfrm>
          <a:off x="1457325" y="8429625"/>
          <a:ext cx="131445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Receiver Front End</a:t>
          </a:r>
        </a:p>
        <a:p>
          <a:pPr algn="ctr" rtl="1">
            <a:defRPr sz="1000"/>
          </a:pPr>
          <a:r>
            <a:rPr lang="en-US" sz="1000" b="1" i="0" strike="noStrike">
              <a:solidFill>
                <a:srgbClr val="000000"/>
              </a:solidFill>
              <a:latin typeface="Arial"/>
              <a:cs typeface="Arial"/>
            </a:rPr>
            <a:t>Bandpass</a:t>
          </a:r>
        </a:p>
        <a:p>
          <a:pPr algn="ctr" rtl="1">
            <a:defRPr sz="1000"/>
          </a:pPr>
          <a:r>
            <a:rPr lang="en-US" sz="1000" b="1" i="0" strike="noStrike">
              <a:solidFill>
                <a:srgbClr val="000000"/>
              </a:solidFill>
              <a:latin typeface="Arial"/>
              <a:cs typeface="Arial"/>
            </a:rPr>
            <a:t>Filter</a:t>
          </a:r>
        </a:p>
      </xdr:txBody>
    </xdr:sp>
    <xdr:clientData/>
  </xdr:twoCellAnchor>
  <xdr:twoCellAnchor>
    <xdr:from>
      <xdr:col>2</xdr:col>
      <xdr:colOff>9525</xdr:colOff>
      <xdr:row>56</xdr:row>
      <xdr:rowOff>0</xdr:rowOff>
    </xdr:from>
    <xdr:to>
      <xdr:col>4</xdr:col>
      <xdr:colOff>19050</xdr:colOff>
      <xdr:row>59</xdr:row>
      <xdr:rowOff>9525</xdr:rowOff>
    </xdr:to>
    <xdr:sp macro="" textlink="">
      <xdr:nvSpPr>
        <xdr:cNvPr id="17416" name="Rectangle 8">
          <a:extLst>
            <a:ext uri="{FF2B5EF4-FFF2-40B4-BE49-F238E27FC236}">
              <a16:creationId xmlns:a16="http://schemas.microsoft.com/office/drawing/2014/main" id="{7A6BFE8F-639F-2243-A4ED-C915E49E8539}"/>
            </a:ext>
          </a:extLst>
        </xdr:cNvPr>
        <xdr:cNvSpPr>
          <a:spLocks noChangeArrowheads="1"/>
        </xdr:cNvSpPr>
      </xdr:nvSpPr>
      <xdr:spPr bwMode="auto">
        <a:xfrm>
          <a:off x="1466850" y="9248775"/>
          <a:ext cx="131445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Other</a:t>
          </a:r>
        </a:p>
        <a:p>
          <a:pPr algn="ctr" rtl="1">
            <a:defRPr sz="1000"/>
          </a:pPr>
          <a:r>
            <a:rPr lang="en-US" sz="1000" b="1" i="0" strike="noStrike">
              <a:solidFill>
                <a:srgbClr val="000000"/>
              </a:solidFill>
              <a:latin typeface="Arial"/>
              <a:cs typeface="Arial"/>
            </a:rPr>
            <a:t>In-Line</a:t>
          </a:r>
        </a:p>
        <a:p>
          <a:pPr algn="ctr" rtl="1">
            <a:defRPr sz="1000"/>
          </a:pPr>
          <a:r>
            <a:rPr lang="en-US" sz="1000" b="1" i="0" strike="noStrike">
              <a:solidFill>
                <a:srgbClr val="000000"/>
              </a:solidFill>
              <a:latin typeface="Arial"/>
              <a:cs typeface="Arial"/>
            </a:rPr>
            <a:t>Device</a:t>
          </a:r>
        </a:p>
      </xdr:txBody>
    </xdr:sp>
    <xdr:clientData/>
  </xdr:twoCellAnchor>
  <xdr:twoCellAnchor>
    <xdr:from>
      <xdr:col>2</xdr:col>
      <xdr:colOff>241300</xdr:colOff>
      <xdr:row>60</xdr:row>
      <xdr:rowOff>114300</xdr:rowOff>
    </xdr:from>
    <xdr:to>
      <xdr:col>3</xdr:col>
      <xdr:colOff>431800</xdr:colOff>
      <xdr:row>65</xdr:row>
      <xdr:rowOff>12700</xdr:rowOff>
    </xdr:to>
    <xdr:sp macro="" textlink="">
      <xdr:nvSpPr>
        <xdr:cNvPr id="84710" name="AutoShape 9">
          <a:extLst>
            <a:ext uri="{FF2B5EF4-FFF2-40B4-BE49-F238E27FC236}">
              <a16:creationId xmlns:a16="http://schemas.microsoft.com/office/drawing/2014/main" id="{F714E5E9-3203-4B4C-AD12-60E9828C9D99}"/>
            </a:ext>
          </a:extLst>
        </xdr:cNvPr>
        <xdr:cNvSpPr>
          <a:spLocks noChangeArrowheads="1"/>
        </xdr:cNvSpPr>
      </xdr:nvSpPr>
      <xdr:spPr bwMode="auto">
        <a:xfrm>
          <a:off x="1879600" y="10210800"/>
          <a:ext cx="901700" cy="723900"/>
        </a:xfrm>
        <a:prstGeom prst="triangle">
          <a:avLst>
            <a:gd name="adj" fmla="val 5000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685800</xdr:colOff>
      <xdr:row>59</xdr:row>
      <xdr:rowOff>12700</xdr:rowOff>
    </xdr:from>
    <xdr:to>
      <xdr:col>3</xdr:col>
      <xdr:colOff>0</xdr:colOff>
      <xdr:row>65</xdr:row>
      <xdr:rowOff>12700</xdr:rowOff>
    </xdr:to>
    <xdr:sp macro="" textlink="">
      <xdr:nvSpPr>
        <xdr:cNvPr id="84711" name="Line 10">
          <a:extLst>
            <a:ext uri="{FF2B5EF4-FFF2-40B4-BE49-F238E27FC236}">
              <a16:creationId xmlns:a16="http://schemas.microsoft.com/office/drawing/2014/main" id="{233FEC63-F4A4-884C-BF2E-8030411A2900}"/>
            </a:ext>
          </a:extLst>
        </xdr:cNvPr>
        <xdr:cNvSpPr>
          <a:spLocks noChangeShapeType="1"/>
        </xdr:cNvSpPr>
      </xdr:nvSpPr>
      <xdr:spPr bwMode="auto">
        <a:xfrm flipH="1" flipV="1">
          <a:off x="2324100" y="9944100"/>
          <a:ext cx="25400" cy="9906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xdr:row>
      <xdr:rowOff>152400</xdr:rowOff>
    </xdr:from>
    <xdr:to>
      <xdr:col>3</xdr:col>
      <xdr:colOff>0</xdr:colOff>
      <xdr:row>11</xdr:row>
      <xdr:rowOff>0</xdr:rowOff>
    </xdr:to>
    <xdr:sp macro="" textlink="">
      <xdr:nvSpPr>
        <xdr:cNvPr id="84712" name="Line 11">
          <a:extLst>
            <a:ext uri="{FF2B5EF4-FFF2-40B4-BE49-F238E27FC236}">
              <a16:creationId xmlns:a16="http://schemas.microsoft.com/office/drawing/2014/main" id="{D5617B5C-E121-0D4D-A51C-5F1C25CC93AC}"/>
            </a:ext>
          </a:extLst>
        </xdr:cNvPr>
        <xdr:cNvSpPr>
          <a:spLocks noChangeShapeType="1"/>
        </xdr:cNvSpPr>
      </xdr:nvSpPr>
      <xdr:spPr bwMode="auto">
        <a:xfrm flipV="1">
          <a:off x="2349500" y="1790700"/>
          <a:ext cx="0" cy="1778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14</xdr:row>
      <xdr:rowOff>152400</xdr:rowOff>
    </xdr:from>
    <xdr:to>
      <xdr:col>3</xdr:col>
      <xdr:colOff>0</xdr:colOff>
      <xdr:row>17</xdr:row>
      <xdr:rowOff>0</xdr:rowOff>
    </xdr:to>
    <xdr:sp macro="" textlink="">
      <xdr:nvSpPr>
        <xdr:cNvPr id="84713" name="Line 12">
          <a:extLst>
            <a:ext uri="{FF2B5EF4-FFF2-40B4-BE49-F238E27FC236}">
              <a16:creationId xmlns:a16="http://schemas.microsoft.com/office/drawing/2014/main" id="{70BDE795-8923-1843-B019-22108A75E4C9}"/>
            </a:ext>
          </a:extLst>
        </xdr:cNvPr>
        <xdr:cNvSpPr>
          <a:spLocks noChangeShapeType="1"/>
        </xdr:cNvSpPr>
      </xdr:nvSpPr>
      <xdr:spPr bwMode="auto">
        <a:xfrm>
          <a:off x="2349500" y="2654300"/>
          <a:ext cx="0" cy="3429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12700</xdr:rowOff>
    </xdr:from>
    <xdr:to>
      <xdr:col>3</xdr:col>
      <xdr:colOff>0</xdr:colOff>
      <xdr:row>36</xdr:row>
      <xdr:rowOff>12700</xdr:rowOff>
    </xdr:to>
    <xdr:sp macro="" textlink="">
      <xdr:nvSpPr>
        <xdr:cNvPr id="84714" name="Line 13">
          <a:extLst>
            <a:ext uri="{FF2B5EF4-FFF2-40B4-BE49-F238E27FC236}">
              <a16:creationId xmlns:a16="http://schemas.microsoft.com/office/drawing/2014/main" id="{B871EE42-7944-3545-A8EA-58FE3A2EC83A}"/>
            </a:ext>
          </a:extLst>
        </xdr:cNvPr>
        <xdr:cNvSpPr>
          <a:spLocks noChangeShapeType="1"/>
        </xdr:cNvSpPr>
      </xdr:nvSpPr>
      <xdr:spPr bwMode="auto">
        <a:xfrm>
          <a:off x="2349500" y="5651500"/>
          <a:ext cx="0" cy="495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12700</xdr:colOff>
      <xdr:row>27</xdr:row>
      <xdr:rowOff>12700</xdr:rowOff>
    </xdr:from>
    <xdr:to>
      <xdr:col>3</xdr:col>
      <xdr:colOff>12700</xdr:colOff>
      <xdr:row>29</xdr:row>
      <xdr:rowOff>0</xdr:rowOff>
    </xdr:to>
    <xdr:sp macro="" textlink="">
      <xdr:nvSpPr>
        <xdr:cNvPr id="84715" name="Line 14">
          <a:extLst>
            <a:ext uri="{FF2B5EF4-FFF2-40B4-BE49-F238E27FC236}">
              <a16:creationId xmlns:a16="http://schemas.microsoft.com/office/drawing/2014/main" id="{1549CC08-19ED-5145-9645-D34EAB5BE928}"/>
            </a:ext>
          </a:extLst>
        </xdr:cNvPr>
        <xdr:cNvSpPr>
          <a:spLocks noChangeShapeType="1"/>
        </xdr:cNvSpPr>
      </xdr:nvSpPr>
      <xdr:spPr bwMode="auto">
        <a:xfrm>
          <a:off x="2362200" y="4660900"/>
          <a:ext cx="0" cy="3175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25400</xdr:rowOff>
    </xdr:from>
    <xdr:to>
      <xdr:col>3</xdr:col>
      <xdr:colOff>0</xdr:colOff>
      <xdr:row>23</xdr:row>
      <xdr:rowOff>25400</xdr:rowOff>
    </xdr:to>
    <xdr:sp macro="" textlink="">
      <xdr:nvSpPr>
        <xdr:cNvPr id="84716" name="Line 15">
          <a:extLst>
            <a:ext uri="{FF2B5EF4-FFF2-40B4-BE49-F238E27FC236}">
              <a16:creationId xmlns:a16="http://schemas.microsoft.com/office/drawing/2014/main" id="{54BF1BFE-ADB0-F441-8488-A8BEB696C2C0}"/>
            </a:ext>
          </a:extLst>
        </xdr:cNvPr>
        <xdr:cNvSpPr>
          <a:spLocks noChangeShapeType="1"/>
        </xdr:cNvSpPr>
      </xdr:nvSpPr>
      <xdr:spPr bwMode="auto">
        <a:xfrm>
          <a:off x="2349500" y="3683000"/>
          <a:ext cx="0" cy="3302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39</xdr:row>
      <xdr:rowOff>139700</xdr:rowOff>
    </xdr:from>
    <xdr:to>
      <xdr:col>2</xdr:col>
      <xdr:colOff>685800</xdr:colOff>
      <xdr:row>42</xdr:row>
      <xdr:rowOff>0</xdr:rowOff>
    </xdr:to>
    <xdr:sp macro="" textlink="">
      <xdr:nvSpPr>
        <xdr:cNvPr id="84717" name="Line 16">
          <a:extLst>
            <a:ext uri="{FF2B5EF4-FFF2-40B4-BE49-F238E27FC236}">
              <a16:creationId xmlns:a16="http://schemas.microsoft.com/office/drawing/2014/main" id="{D914D1A7-165A-DE47-887E-49F97D3026D2}"/>
            </a:ext>
          </a:extLst>
        </xdr:cNvPr>
        <xdr:cNvSpPr>
          <a:spLocks noChangeShapeType="1"/>
        </xdr:cNvSpPr>
      </xdr:nvSpPr>
      <xdr:spPr bwMode="auto">
        <a:xfrm>
          <a:off x="2324100" y="6769100"/>
          <a:ext cx="0" cy="3556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xdr:row>
      <xdr:rowOff>139700</xdr:rowOff>
    </xdr:from>
    <xdr:to>
      <xdr:col>3</xdr:col>
      <xdr:colOff>0</xdr:colOff>
      <xdr:row>50</xdr:row>
      <xdr:rowOff>152400</xdr:rowOff>
    </xdr:to>
    <xdr:sp macro="" textlink="">
      <xdr:nvSpPr>
        <xdr:cNvPr id="84718" name="Line 17">
          <a:extLst>
            <a:ext uri="{FF2B5EF4-FFF2-40B4-BE49-F238E27FC236}">
              <a16:creationId xmlns:a16="http://schemas.microsoft.com/office/drawing/2014/main" id="{2BD33AD7-45CB-394A-B1F5-3952D99BEAAE}"/>
            </a:ext>
          </a:extLst>
        </xdr:cNvPr>
        <xdr:cNvSpPr>
          <a:spLocks noChangeShapeType="1"/>
        </xdr:cNvSpPr>
      </xdr:nvSpPr>
      <xdr:spPr bwMode="auto">
        <a:xfrm>
          <a:off x="2349500" y="7924800"/>
          <a:ext cx="0" cy="6731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xdr:row>
      <xdr:rowOff>12700</xdr:rowOff>
    </xdr:from>
    <xdr:to>
      <xdr:col>3</xdr:col>
      <xdr:colOff>0</xdr:colOff>
      <xdr:row>55</xdr:row>
      <xdr:rowOff>152400</xdr:rowOff>
    </xdr:to>
    <xdr:sp macro="" textlink="">
      <xdr:nvSpPr>
        <xdr:cNvPr id="84719" name="Line 18">
          <a:extLst>
            <a:ext uri="{FF2B5EF4-FFF2-40B4-BE49-F238E27FC236}">
              <a16:creationId xmlns:a16="http://schemas.microsoft.com/office/drawing/2014/main" id="{70DBE812-6A93-F346-A605-98CACBE6D439}"/>
            </a:ext>
          </a:extLst>
        </xdr:cNvPr>
        <xdr:cNvSpPr>
          <a:spLocks noChangeShapeType="1"/>
        </xdr:cNvSpPr>
      </xdr:nvSpPr>
      <xdr:spPr bwMode="auto">
        <a:xfrm>
          <a:off x="2349500" y="9118600"/>
          <a:ext cx="0" cy="304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254000</xdr:colOff>
      <xdr:row>75</xdr:row>
      <xdr:rowOff>152400</xdr:rowOff>
    </xdr:from>
    <xdr:to>
      <xdr:col>3</xdr:col>
      <xdr:colOff>444500</xdr:colOff>
      <xdr:row>80</xdr:row>
      <xdr:rowOff>50800</xdr:rowOff>
    </xdr:to>
    <xdr:sp macro="" textlink="">
      <xdr:nvSpPr>
        <xdr:cNvPr id="84720" name="AutoShape 19">
          <a:extLst>
            <a:ext uri="{FF2B5EF4-FFF2-40B4-BE49-F238E27FC236}">
              <a16:creationId xmlns:a16="http://schemas.microsoft.com/office/drawing/2014/main" id="{225EBB55-9040-1149-99AB-0404EE132A7B}"/>
            </a:ext>
          </a:extLst>
        </xdr:cNvPr>
        <xdr:cNvSpPr>
          <a:spLocks noChangeArrowheads="1"/>
        </xdr:cNvSpPr>
      </xdr:nvSpPr>
      <xdr:spPr bwMode="auto">
        <a:xfrm rot="10800000">
          <a:off x="1892300" y="12725400"/>
          <a:ext cx="901700" cy="723900"/>
        </a:xfrm>
        <a:prstGeom prst="triangle">
          <a:avLst>
            <a:gd name="adj" fmla="val 5000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75</xdr:row>
      <xdr:rowOff>152400</xdr:rowOff>
    </xdr:from>
    <xdr:to>
      <xdr:col>3</xdr:col>
      <xdr:colOff>0</xdr:colOff>
      <xdr:row>85</xdr:row>
      <xdr:rowOff>25400</xdr:rowOff>
    </xdr:to>
    <xdr:sp macro="" textlink="">
      <xdr:nvSpPr>
        <xdr:cNvPr id="84721" name="Line 20">
          <a:extLst>
            <a:ext uri="{FF2B5EF4-FFF2-40B4-BE49-F238E27FC236}">
              <a16:creationId xmlns:a16="http://schemas.microsoft.com/office/drawing/2014/main" id="{111FA5B5-AD16-3542-83EF-EC33A0299927}"/>
            </a:ext>
          </a:extLst>
        </xdr:cNvPr>
        <xdr:cNvSpPr>
          <a:spLocks noChangeShapeType="1"/>
        </xdr:cNvSpPr>
      </xdr:nvSpPr>
      <xdr:spPr bwMode="auto">
        <a:xfrm>
          <a:off x="2349500" y="12725400"/>
          <a:ext cx="0" cy="15240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85</xdr:row>
      <xdr:rowOff>9525</xdr:rowOff>
    </xdr:from>
    <xdr:to>
      <xdr:col>4</xdr:col>
      <xdr:colOff>9525</xdr:colOff>
      <xdr:row>88</xdr:row>
      <xdr:rowOff>19050</xdr:rowOff>
    </xdr:to>
    <xdr:sp macro="" textlink="">
      <xdr:nvSpPr>
        <xdr:cNvPr id="17429" name="Rectangle 21">
          <a:extLst>
            <a:ext uri="{FF2B5EF4-FFF2-40B4-BE49-F238E27FC236}">
              <a16:creationId xmlns:a16="http://schemas.microsoft.com/office/drawing/2014/main" id="{5CBEC099-F5B8-7443-BBFA-D9A056CE570E}"/>
            </a:ext>
          </a:extLst>
        </xdr:cNvPr>
        <xdr:cNvSpPr>
          <a:spLocks noChangeArrowheads="1"/>
        </xdr:cNvSpPr>
      </xdr:nvSpPr>
      <xdr:spPr bwMode="auto">
        <a:xfrm>
          <a:off x="1457325" y="13954125"/>
          <a:ext cx="131445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Other </a:t>
          </a:r>
        </a:p>
        <a:p>
          <a:pPr algn="ctr" rtl="1">
            <a:defRPr sz="1000"/>
          </a:pPr>
          <a:r>
            <a:rPr lang="en-US" sz="1000" b="1" i="0" strike="noStrike">
              <a:solidFill>
                <a:srgbClr val="000000"/>
              </a:solidFill>
              <a:latin typeface="Arial"/>
              <a:cs typeface="Arial"/>
            </a:rPr>
            <a:t>In-Line</a:t>
          </a:r>
        </a:p>
        <a:p>
          <a:pPr algn="ctr" rtl="1">
            <a:defRPr sz="1000"/>
          </a:pPr>
          <a:r>
            <a:rPr lang="en-US" sz="1000" b="1" i="0" strike="noStrike">
              <a:solidFill>
                <a:srgbClr val="000000"/>
              </a:solidFill>
              <a:latin typeface="Arial"/>
              <a:cs typeface="Arial"/>
            </a:rPr>
            <a:t>Device</a:t>
          </a:r>
        </a:p>
      </xdr:txBody>
    </xdr:sp>
    <xdr:clientData/>
  </xdr:twoCellAnchor>
  <xdr:twoCellAnchor>
    <xdr:from>
      <xdr:col>2</xdr:col>
      <xdr:colOff>9525</xdr:colOff>
      <xdr:row>90</xdr:row>
      <xdr:rowOff>19050</xdr:rowOff>
    </xdr:from>
    <xdr:to>
      <xdr:col>4</xdr:col>
      <xdr:colOff>19050</xdr:colOff>
      <xdr:row>93</xdr:row>
      <xdr:rowOff>28575</xdr:rowOff>
    </xdr:to>
    <xdr:sp macro="" textlink="">
      <xdr:nvSpPr>
        <xdr:cNvPr id="17430" name="Rectangle 22">
          <a:extLst>
            <a:ext uri="{FF2B5EF4-FFF2-40B4-BE49-F238E27FC236}">
              <a16:creationId xmlns:a16="http://schemas.microsoft.com/office/drawing/2014/main" id="{974855B9-5E6C-454C-B137-28756AE48E49}"/>
            </a:ext>
          </a:extLst>
        </xdr:cNvPr>
        <xdr:cNvSpPr>
          <a:spLocks noChangeArrowheads="1"/>
        </xdr:cNvSpPr>
      </xdr:nvSpPr>
      <xdr:spPr bwMode="auto">
        <a:xfrm>
          <a:off x="1466850" y="14773275"/>
          <a:ext cx="131445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Transmit</a:t>
          </a:r>
        </a:p>
        <a:p>
          <a:pPr algn="ctr" rtl="1">
            <a:defRPr sz="1000"/>
          </a:pPr>
          <a:r>
            <a:rPr lang="en-US" sz="1000" b="1" i="0" strike="noStrike">
              <a:solidFill>
                <a:srgbClr val="000000"/>
              </a:solidFill>
              <a:latin typeface="Arial"/>
              <a:cs typeface="Arial"/>
            </a:rPr>
            <a:t>Bandpass</a:t>
          </a:r>
        </a:p>
        <a:p>
          <a:pPr algn="ctr" rtl="1">
            <a:defRPr sz="1000"/>
          </a:pPr>
          <a:r>
            <a:rPr lang="en-US" sz="1000" b="1" i="0" strike="noStrike">
              <a:solidFill>
                <a:srgbClr val="000000"/>
              </a:solidFill>
              <a:latin typeface="Arial"/>
              <a:cs typeface="Arial"/>
            </a:rPr>
            <a:t>Filter</a:t>
          </a:r>
        </a:p>
      </xdr:txBody>
    </xdr:sp>
    <xdr:clientData/>
  </xdr:twoCellAnchor>
  <xdr:twoCellAnchor>
    <xdr:from>
      <xdr:col>3</xdr:col>
      <xdr:colOff>0</xdr:colOff>
      <xdr:row>88</xdr:row>
      <xdr:rowOff>25400</xdr:rowOff>
    </xdr:from>
    <xdr:to>
      <xdr:col>3</xdr:col>
      <xdr:colOff>0</xdr:colOff>
      <xdr:row>90</xdr:row>
      <xdr:rowOff>12700</xdr:rowOff>
    </xdr:to>
    <xdr:sp macro="" textlink="">
      <xdr:nvSpPr>
        <xdr:cNvPr id="84724" name="Line 23">
          <a:extLst>
            <a:ext uri="{FF2B5EF4-FFF2-40B4-BE49-F238E27FC236}">
              <a16:creationId xmlns:a16="http://schemas.microsoft.com/office/drawing/2014/main" id="{6AD0637D-DC53-904F-AF90-064ED601FADF}"/>
            </a:ext>
          </a:extLst>
        </xdr:cNvPr>
        <xdr:cNvSpPr>
          <a:spLocks noChangeShapeType="1"/>
        </xdr:cNvSpPr>
      </xdr:nvSpPr>
      <xdr:spPr bwMode="auto">
        <a:xfrm>
          <a:off x="2349500" y="14744700"/>
          <a:ext cx="0" cy="3175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168275</xdr:colOff>
      <xdr:row>94</xdr:row>
      <xdr:rowOff>142875</xdr:rowOff>
    </xdr:from>
    <xdr:to>
      <xdr:col>3</xdr:col>
      <xdr:colOff>561975</xdr:colOff>
      <xdr:row>99</xdr:row>
      <xdr:rowOff>152400</xdr:rowOff>
    </xdr:to>
    <xdr:sp macro="" textlink="">
      <xdr:nvSpPr>
        <xdr:cNvPr id="17432" name="AutoShape 24">
          <a:extLst>
            <a:ext uri="{FF2B5EF4-FFF2-40B4-BE49-F238E27FC236}">
              <a16:creationId xmlns:a16="http://schemas.microsoft.com/office/drawing/2014/main" id="{CF363A26-A05D-5647-80AC-2188A8BF883D}"/>
            </a:ext>
          </a:extLst>
        </xdr:cNvPr>
        <xdr:cNvSpPr>
          <a:spLocks noChangeArrowheads="1"/>
        </xdr:cNvSpPr>
      </xdr:nvSpPr>
      <xdr:spPr bwMode="auto">
        <a:xfrm>
          <a:off x="1600200" y="15544800"/>
          <a:ext cx="962025" cy="819150"/>
        </a:xfrm>
        <a:prstGeom prst="triangle">
          <a:avLst>
            <a:gd name="adj" fmla="val 50000"/>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HPA</a:t>
          </a:r>
        </a:p>
      </xdr:txBody>
    </xdr:sp>
    <xdr:clientData/>
  </xdr:twoCellAnchor>
  <xdr:twoCellAnchor>
    <xdr:from>
      <xdr:col>1</xdr:col>
      <xdr:colOff>641350</xdr:colOff>
      <xdr:row>102</xdr:row>
      <xdr:rowOff>0</xdr:rowOff>
    </xdr:from>
    <xdr:to>
      <xdr:col>3</xdr:col>
      <xdr:colOff>689237</xdr:colOff>
      <xdr:row>105</xdr:row>
      <xdr:rowOff>9525</xdr:rowOff>
    </xdr:to>
    <xdr:sp macro="" textlink="">
      <xdr:nvSpPr>
        <xdr:cNvPr id="17433" name="Rectangle 25">
          <a:extLst>
            <a:ext uri="{FF2B5EF4-FFF2-40B4-BE49-F238E27FC236}">
              <a16:creationId xmlns:a16="http://schemas.microsoft.com/office/drawing/2014/main" id="{893D001E-64CF-A64F-B6C9-277D147D4C2A}"/>
            </a:ext>
          </a:extLst>
        </xdr:cNvPr>
        <xdr:cNvSpPr>
          <a:spLocks noChangeArrowheads="1"/>
        </xdr:cNvSpPr>
      </xdr:nvSpPr>
      <xdr:spPr bwMode="auto">
        <a:xfrm>
          <a:off x="1438275" y="16697325"/>
          <a:ext cx="123825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Transmitter</a:t>
          </a:r>
        </a:p>
        <a:p>
          <a:pPr algn="ctr" rtl="1">
            <a:defRPr sz="1000"/>
          </a:pPr>
          <a:r>
            <a:rPr lang="en-US" sz="1000" b="1" i="0" strike="noStrike">
              <a:solidFill>
                <a:srgbClr val="000000"/>
              </a:solidFill>
              <a:latin typeface="Arial"/>
              <a:cs typeface="Arial"/>
            </a:rPr>
            <a:t>Exciter/Modulator/</a:t>
          </a:r>
        </a:p>
        <a:p>
          <a:pPr algn="ctr" rtl="1">
            <a:defRPr sz="1000"/>
          </a:pPr>
          <a:r>
            <a:rPr lang="en-US" sz="1000" b="1" i="0" strike="noStrike">
              <a:solidFill>
                <a:srgbClr val="000000"/>
              </a:solidFill>
              <a:latin typeface="Arial"/>
              <a:cs typeface="Arial"/>
            </a:rPr>
            <a:t>FEC Encoder</a:t>
          </a:r>
        </a:p>
      </xdr:txBody>
    </xdr:sp>
    <xdr:clientData/>
  </xdr:twoCellAnchor>
  <xdr:twoCellAnchor>
    <xdr:from>
      <xdr:col>2</xdr:col>
      <xdr:colOff>685800</xdr:colOff>
      <xdr:row>93</xdr:row>
      <xdr:rowOff>25400</xdr:rowOff>
    </xdr:from>
    <xdr:to>
      <xdr:col>3</xdr:col>
      <xdr:colOff>0</xdr:colOff>
      <xdr:row>94</xdr:row>
      <xdr:rowOff>152400</xdr:rowOff>
    </xdr:to>
    <xdr:sp macro="" textlink="">
      <xdr:nvSpPr>
        <xdr:cNvPr id="84727" name="Line 26">
          <a:extLst>
            <a:ext uri="{FF2B5EF4-FFF2-40B4-BE49-F238E27FC236}">
              <a16:creationId xmlns:a16="http://schemas.microsoft.com/office/drawing/2014/main" id="{009438D2-D710-814C-9290-7EA770713D7A}"/>
            </a:ext>
          </a:extLst>
        </xdr:cNvPr>
        <xdr:cNvSpPr>
          <a:spLocks noChangeShapeType="1"/>
        </xdr:cNvSpPr>
      </xdr:nvSpPr>
      <xdr:spPr bwMode="auto">
        <a:xfrm>
          <a:off x="2324100" y="15570200"/>
          <a:ext cx="25400" cy="2921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12700</xdr:rowOff>
    </xdr:from>
    <xdr:to>
      <xdr:col>3</xdr:col>
      <xdr:colOff>0</xdr:colOff>
      <xdr:row>101</xdr:row>
      <xdr:rowOff>152400</xdr:rowOff>
    </xdr:to>
    <xdr:sp macro="" textlink="">
      <xdr:nvSpPr>
        <xdr:cNvPr id="84728" name="Line 27">
          <a:extLst>
            <a:ext uri="{FF2B5EF4-FFF2-40B4-BE49-F238E27FC236}">
              <a16:creationId xmlns:a16="http://schemas.microsoft.com/office/drawing/2014/main" id="{591247B5-00FF-0744-9C99-EEC8E8CAD3E6}"/>
            </a:ext>
          </a:extLst>
        </xdr:cNvPr>
        <xdr:cNvSpPr>
          <a:spLocks noChangeShapeType="1"/>
        </xdr:cNvSpPr>
      </xdr:nvSpPr>
      <xdr:spPr bwMode="auto">
        <a:xfrm flipH="1">
          <a:off x="2349500" y="16713200"/>
          <a:ext cx="0" cy="304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105</xdr:row>
      <xdr:rowOff>12700</xdr:rowOff>
    </xdr:from>
    <xdr:to>
      <xdr:col>2</xdr:col>
      <xdr:colOff>685800</xdr:colOff>
      <xdr:row>108</xdr:row>
      <xdr:rowOff>12700</xdr:rowOff>
    </xdr:to>
    <xdr:sp macro="" textlink="">
      <xdr:nvSpPr>
        <xdr:cNvPr id="84729" name="Line 28">
          <a:extLst>
            <a:ext uri="{FF2B5EF4-FFF2-40B4-BE49-F238E27FC236}">
              <a16:creationId xmlns:a16="http://schemas.microsoft.com/office/drawing/2014/main" id="{006FAD1F-3AAF-E741-9457-DA79F3AD05DA}"/>
            </a:ext>
          </a:extLst>
        </xdr:cNvPr>
        <xdr:cNvSpPr>
          <a:spLocks noChangeShapeType="1"/>
        </xdr:cNvSpPr>
      </xdr:nvSpPr>
      <xdr:spPr bwMode="auto">
        <a:xfrm flipV="1">
          <a:off x="2324100" y="17538700"/>
          <a:ext cx="0" cy="5334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635000</xdr:colOff>
      <xdr:row>65</xdr:row>
      <xdr:rowOff>88900</xdr:rowOff>
    </xdr:from>
    <xdr:to>
      <xdr:col>3</xdr:col>
      <xdr:colOff>50800</xdr:colOff>
      <xdr:row>75</xdr:row>
      <xdr:rowOff>76200</xdr:rowOff>
    </xdr:to>
    <xdr:sp macro="" textlink="">
      <xdr:nvSpPr>
        <xdr:cNvPr id="84730" name="AutoShape 31">
          <a:extLst>
            <a:ext uri="{FF2B5EF4-FFF2-40B4-BE49-F238E27FC236}">
              <a16:creationId xmlns:a16="http://schemas.microsoft.com/office/drawing/2014/main" id="{8FC8DED3-51E5-0048-BB7F-D6522C1E1E84}"/>
            </a:ext>
          </a:extLst>
        </xdr:cNvPr>
        <xdr:cNvSpPr>
          <a:spLocks noChangeArrowheads="1"/>
        </xdr:cNvSpPr>
      </xdr:nvSpPr>
      <xdr:spPr bwMode="auto">
        <a:xfrm>
          <a:off x="2273300" y="11010900"/>
          <a:ext cx="127000" cy="1638300"/>
        </a:xfrm>
        <a:prstGeom prst="upArrow">
          <a:avLst>
            <a:gd name="adj1" fmla="val 50000"/>
            <a:gd name="adj2" fmla="val 322500"/>
          </a:avLst>
        </a:prstGeom>
        <a:solidFill>
          <a:srgbClr val="FF0000"/>
        </a:solidFill>
        <a:ln w="9525">
          <a:solidFill>
            <a:srgbClr val="FF0000"/>
          </a:solidFill>
          <a:miter lim="800000"/>
          <a:headEnd/>
          <a:tailEnd/>
        </a:ln>
      </xdr:spPr>
    </xdr:sp>
    <xdr:clientData/>
  </xdr:twoCellAnchor>
  <xdr:twoCellAnchor>
    <xdr:from>
      <xdr:col>2</xdr:col>
      <xdr:colOff>469900</xdr:colOff>
      <xdr:row>70</xdr:row>
      <xdr:rowOff>38100</xdr:rowOff>
    </xdr:from>
    <xdr:to>
      <xdr:col>3</xdr:col>
      <xdr:colOff>215900</xdr:colOff>
      <xdr:row>71</xdr:row>
      <xdr:rowOff>25400</xdr:rowOff>
    </xdr:to>
    <xdr:sp macro="" textlink="">
      <xdr:nvSpPr>
        <xdr:cNvPr id="84731" name="AutoShape 32">
          <a:extLst>
            <a:ext uri="{FF2B5EF4-FFF2-40B4-BE49-F238E27FC236}">
              <a16:creationId xmlns:a16="http://schemas.microsoft.com/office/drawing/2014/main" id="{E89C9AA0-DE4E-BC45-A73F-56BF82004543}"/>
            </a:ext>
          </a:extLst>
        </xdr:cNvPr>
        <xdr:cNvSpPr>
          <a:spLocks noChangeArrowheads="1"/>
        </xdr:cNvSpPr>
      </xdr:nvSpPr>
      <xdr:spPr bwMode="auto">
        <a:xfrm>
          <a:off x="2108200" y="11785600"/>
          <a:ext cx="457200" cy="152400"/>
        </a:xfrm>
        <a:prstGeom prst="wave">
          <a:avLst>
            <a:gd name="adj1" fmla="val 20644"/>
            <a:gd name="adj2" fmla="val -1162"/>
          </a:avLst>
        </a:prstGeom>
        <a:solidFill>
          <a:srgbClr val="C0C0C0"/>
        </a:solidFill>
        <a:ln w="9525">
          <a:solidFill>
            <a:srgbClr val="000000"/>
          </a:solidFill>
          <a:round/>
          <a:headEnd/>
          <a:tailEnd/>
        </a:ln>
      </xdr:spPr>
    </xdr:sp>
    <xdr:clientData/>
  </xdr:twoCellAnchor>
  <xdr:twoCellAnchor>
    <xdr:from>
      <xdr:col>2</xdr:col>
      <xdr:colOff>393700</xdr:colOff>
      <xdr:row>70</xdr:row>
      <xdr:rowOff>25400</xdr:rowOff>
    </xdr:from>
    <xdr:to>
      <xdr:col>2</xdr:col>
      <xdr:colOff>482600</xdr:colOff>
      <xdr:row>71</xdr:row>
      <xdr:rowOff>0</xdr:rowOff>
    </xdr:to>
    <xdr:sp macro="" textlink="">
      <xdr:nvSpPr>
        <xdr:cNvPr id="84732" name="Rectangle 33">
          <a:extLst>
            <a:ext uri="{FF2B5EF4-FFF2-40B4-BE49-F238E27FC236}">
              <a16:creationId xmlns:a16="http://schemas.microsoft.com/office/drawing/2014/main" id="{B0BCA268-9F69-7B48-933B-92BA6D1B498D}"/>
            </a:ext>
          </a:extLst>
        </xdr:cNvPr>
        <xdr:cNvSpPr>
          <a:spLocks noChangeArrowheads="1"/>
        </xdr:cNvSpPr>
      </xdr:nvSpPr>
      <xdr:spPr bwMode="auto">
        <a:xfrm>
          <a:off x="2032000" y="11772900"/>
          <a:ext cx="88900" cy="139700"/>
        </a:xfrm>
        <a:prstGeom prst="rect">
          <a:avLst/>
        </a:prstGeom>
        <a:solidFill>
          <a:srgbClr val="C0C0C0"/>
        </a:solidFill>
        <a:ln w="9525">
          <a:solidFill>
            <a:srgbClr val="C0C0C0"/>
          </a:solidFill>
          <a:miter lim="800000"/>
          <a:headEnd/>
          <a:tailEnd/>
        </a:ln>
      </xdr:spPr>
    </xdr:sp>
    <xdr:clientData/>
  </xdr:twoCellAnchor>
  <xdr:twoCellAnchor>
    <xdr:from>
      <xdr:col>3</xdr:col>
      <xdr:colOff>190500</xdr:colOff>
      <xdr:row>70</xdr:row>
      <xdr:rowOff>63500</xdr:rowOff>
    </xdr:from>
    <xdr:to>
      <xdr:col>3</xdr:col>
      <xdr:colOff>279400</xdr:colOff>
      <xdr:row>71</xdr:row>
      <xdr:rowOff>25400</xdr:rowOff>
    </xdr:to>
    <xdr:sp macro="" textlink="">
      <xdr:nvSpPr>
        <xdr:cNvPr id="84733" name="Rectangle 34">
          <a:extLst>
            <a:ext uri="{FF2B5EF4-FFF2-40B4-BE49-F238E27FC236}">
              <a16:creationId xmlns:a16="http://schemas.microsoft.com/office/drawing/2014/main" id="{51051FB9-6C60-294F-8AEA-88FC9766581B}"/>
            </a:ext>
          </a:extLst>
        </xdr:cNvPr>
        <xdr:cNvSpPr>
          <a:spLocks noChangeArrowheads="1"/>
        </xdr:cNvSpPr>
      </xdr:nvSpPr>
      <xdr:spPr bwMode="auto">
        <a:xfrm>
          <a:off x="2540000" y="11811000"/>
          <a:ext cx="88900" cy="127000"/>
        </a:xfrm>
        <a:prstGeom prst="rect">
          <a:avLst/>
        </a:prstGeom>
        <a:solidFill>
          <a:srgbClr val="C0C0C0"/>
        </a:solidFill>
        <a:ln w="9525">
          <a:solidFill>
            <a:srgbClr val="C0C0C0"/>
          </a:solidFill>
          <a:miter lim="800000"/>
          <a:headEnd/>
          <a:tailEnd/>
        </a:ln>
      </xdr:spPr>
    </xdr:sp>
    <xdr:clientData/>
  </xdr:twoCellAnchor>
  <xdr:oneCellAnchor>
    <xdr:from>
      <xdr:col>2</xdr:col>
      <xdr:colOff>353511</xdr:colOff>
      <xdr:row>37</xdr:row>
      <xdr:rowOff>123825</xdr:rowOff>
    </xdr:from>
    <xdr:ext cx="592727" cy="318036"/>
    <xdr:sp macro="" textlink="">
      <xdr:nvSpPr>
        <xdr:cNvPr id="17449" name="Text Box 41">
          <a:extLst>
            <a:ext uri="{FF2B5EF4-FFF2-40B4-BE49-F238E27FC236}">
              <a16:creationId xmlns:a16="http://schemas.microsoft.com/office/drawing/2014/main" id="{6A4AFF5C-F721-304C-A184-1C2A456BC2A3}"/>
            </a:ext>
          </a:extLst>
        </xdr:cNvPr>
        <xdr:cNvSpPr txBox="1">
          <a:spLocks noChangeArrowheads="1"/>
        </xdr:cNvSpPr>
      </xdr:nvSpPr>
      <xdr:spPr bwMode="auto">
        <a:xfrm>
          <a:off x="1991811" y="6423025"/>
          <a:ext cx="592727" cy="318036"/>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2nd </a:t>
          </a:r>
        </a:p>
        <a:p>
          <a:pPr algn="ctr" rtl="1">
            <a:defRPr sz="1000"/>
          </a:pPr>
          <a:r>
            <a:rPr lang="en-US" sz="1000" b="1" i="0" strike="noStrike">
              <a:solidFill>
                <a:srgbClr val="000000"/>
              </a:solidFill>
              <a:latin typeface="Arial"/>
              <a:cs typeface="Arial"/>
            </a:rPr>
            <a:t>Amplifier</a:t>
          </a:r>
        </a:p>
      </xdr:txBody>
    </xdr:sp>
    <xdr:clientData/>
  </xdr:oneCellAnchor>
  <xdr:oneCellAnchor>
    <xdr:from>
      <xdr:col>2</xdr:col>
      <xdr:colOff>298256</xdr:colOff>
      <xdr:row>23</xdr:row>
      <xdr:rowOff>66675</xdr:rowOff>
    </xdr:from>
    <xdr:ext cx="660807" cy="465512"/>
    <xdr:sp macro="" textlink="">
      <xdr:nvSpPr>
        <xdr:cNvPr id="17452" name="Text Box 44">
          <a:extLst>
            <a:ext uri="{FF2B5EF4-FFF2-40B4-BE49-F238E27FC236}">
              <a16:creationId xmlns:a16="http://schemas.microsoft.com/office/drawing/2014/main" id="{A8B3EF9E-5F1E-B142-A4B5-422493CCFB1D}"/>
            </a:ext>
          </a:extLst>
        </xdr:cNvPr>
        <xdr:cNvSpPr txBox="1">
          <a:spLocks noChangeArrowheads="1"/>
        </xdr:cNvSpPr>
      </xdr:nvSpPr>
      <xdr:spPr bwMode="auto">
        <a:xfrm>
          <a:off x="1717481" y="3971925"/>
          <a:ext cx="649794" cy="465512"/>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Data</a:t>
          </a:r>
        </a:p>
        <a:p>
          <a:pPr algn="ctr" rtl="1">
            <a:defRPr sz="1000"/>
          </a:pPr>
          <a:r>
            <a:rPr lang="en-US" sz="1000" b="1" i="0" strike="noStrike">
              <a:solidFill>
                <a:srgbClr val="000000"/>
              </a:solidFill>
              <a:latin typeface="Arial"/>
              <a:cs typeface="Arial"/>
            </a:rPr>
            <a:t>Bandpass</a:t>
          </a:r>
        </a:p>
        <a:p>
          <a:pPr algn="ctr" rtl="1">
            <a:defRPr sz="1000"/>
          </a:pPr>
          <a:r>
            <a:rPr lang="en-US" sz="1000" b="1" i="0" strike="noStrike">
              <a:solidFill>
                <a:srgbClr val="000000"/>
              </a:solidFill>
              <a:latin typeface="Arial"/>
              <a:cs typeface="Arial"/>
            </a:rPr>
            <a:t>Filter</a:t>
          </a:r>
        </a:p>
      </xdr:txBody>
    </xdr:sp>
    <xdr:clientData/>
  </xdr:oneCellAnchor>
  <xdr:oneCellAnchor>
    <xdr:from>
      <xdr:col>1</xdr:col>
      <xdr:colOff>672908</xdr:colOff>
      <xdr:row>18</xdr:row>
      <xdr:rowOff>66675</xdr:rowOff>
    </xdr:from>
    <xdr:ext cx="1152528" cy="170560"/>
    <xdr:sp macro="" textlink="">
      <xdr:nvSpPr>
        <xdr:cNvPr id="17453" name="Text Box 45">
          <a:extLst>
            <a:ext uri="{FF2B5EF4-FFF2-40B4-BE49-F238E27FC236}">
              <a16:creationId xmlns:a16="http://schemas.microsoft.com/office/drawing/2014/main" id="{C79B1F59-B33A-B040-BCFB-2A7E2CD6AFAB}"/>
            </a:ext>
          </a:extLst>
        </xdr:cNvPr>
        <xdr:cNvSpPr txBox="1">
          <a:spLocks noChangeArrowheads="1"/>
        </xdr:cNvSpPr>
      </xdr:nvSpPr>
      <xdr:spPr bwMode="auto">
        <a:xfrm>
          <a:off x="1457133" y="3162300"/>
          <a:ext cx="1141338" cy="170560"/>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Data</a:t>
          </a:r>
          <a:r>
            <a:rPr lang="en-US" sz="1000" b="0" i="0" strike="noStrike">
              <a:solidFill>
                <a:srgbClr val="000000"/>
              </a:solidFill>
              <a:latin typeface="Arial"/>
              <a:cs typeface="Arial"/>
            </a:rPr>
            <a:t> </a:t>
          </a:r>
          <a:r>
            <a:rPr lang="en-US" sz="1000" b="1" i="0" strike="noStrike">
              <a:solidFill>
                <a:srgbClr val="000000"/>
              </a:solidFill>
              <a:latin typeface="Arial"/>
              <a:cs typeface="Arial"/>
            </a:rPr>
            <a:t>Demodulator</a:t>
          </a:r>
        </a:p>
      </xdr:txBody>
    </xdr:sp>
    <xdr:clientData/>
  </xdr:oneCellAnchor>
  <xdr:oneCellAnchor>
    <xdr:from>
      <xdr:col>2</xdr:col>
      <xdr:colOff>79375</xdr:colOff>
      <xdr:row>12</xdr:row>
      <xdr:rowOff>19050</xdr:rowOff>
    </xdr:from>
    <xdr:ext cx="1207578" cy="170560"/>
    <xdr:sp macro="" textlink="">
      <xdr:nvSpPr>
        <xdr:cNvPr id="17454" name="Text Box 46">
          <a:extLst>
            <a:ext uri="{FF2B5EF4-FFF2-40B4-BE49-F238E27FC236}">
              <a16:creationId xmlns:a16="http://schemas.microsoft.com/office/drawing/2014/main" id="{857E38C1-5DB1-0046-B645-5B37BEC13764}"/>
            </a:ext>
          </a:extLst>
        </xdr:cNvPr>
        <xdr:cNvSpPr txBox="1">
          <a:spLocks noChangeArrowheads="1"/>
        </xdr:cNvSpPr>
      </xdr:nvSpPr>
      <xdr:spPr bwMode="auto">
        <a:xfrm>
          <a:off x="1524000" y="2143125"/>
          <a:ext cx="1137234"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Data FEC Decoder</a:t>
          </a:r>
        </a:p>
      </xdr:txBody>
    </xdr:sp>
    <xdr:clientData/>
  </xdr:oneCellAnchor>
  <xdr:twoCellAnchor>
    <xdr:from>
      <xdr:col>0</xdr:col>
      <xdr:colOff>558800</xdr:colOff>
      <xdr:row>11</xdr:row>
      <xdr:rowOff>12700</xdr:rowOff>
    </xdr:from>
    <xdr:to>
      <xdr:col>1</xdr:col>
      <xdr:colOff>165100</xdr:colOff>
      <xdr:row>65</xdr:row>
      <xdr:rowOff>38100</xdr:rowOff>
    </xdr:to>
    <xdr:sp macro="" textlink="">
      <xdr:nvSpPr>
        <xdr:cNvPr id="84738" name="AutoShape 47">
          <a:extLst>
            <a:ext uri="{FF2B5EF4-FFF2-40B4-BE49-F238E27FC236}">
              <a16:creationId xmlns:a16="http://schemas.microsoft.com/office/drawing/2014/main" id="{8974C8A5-2BCD-6740-BE51-B04BB8CC2744}"/>
            </a:ext>
          </a:extLst>
        </xdr:cNvPr>
        <xdr:cNvSpPr>
          <a:spLocks/>
        </xdr:cNvSpPr>
      </xdr:nvSpPr>
      <xdr:spPr bwMode="auto">
        <a:xfrm>
          <a:off x="558800" y="1981200"/>
          <a:ext cx="571500" cy="8978900"/>
        </a:xfrm>
        <a:prstGeom prst="leftBrace">
          <a:avLst>
            <a:gd name="adj1" fmla="val 130926"/>
            <a:gd name="adj2" fmla="val 50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25400</xdr:colOff>
      <xdr:row>85</xdr:row>
      <xdr:rowOff>25400</xdr:rowOff>
    </xdr:from>
    <xdr:to>
      <xdr:col>1</xdr:col>
      <xdr:colOff>292100</xdr:colOff>
      <xdr:row>105</xdr:row>
      <xdr:rowOff>25400</xdr:rowOff>
    </xdr:to>
    <xdr:sp macro="" textlink="">
      <xdr:nvSpPr>
        <xdr:cNvPr id="84739" name="AutoShape 48">
          <a:extLst>
            <a:ext uri="{FF2B5EF4-FFF2-40B4-BE49-F238E27FC236}">
              <a16:creationId xmlns:a16="http://schemas.microsoft.com/office/drawing/2014/main" id="{AD946692-0EE9-0D4D-8436-922DC97ECCD4}"/>
            </a:ext>
          </a:extLst>
        </xdr:cNvPr>
        <xdr:cNvSpPr>
          <a:spLocks/>
        </xdr:cNvSpPr>
      </xdr:nvSpPr>
      <xdr:spPr bwMode="auto">
        <a:xfrm>
          <a:off x="990600" y="14249400"/>
          <a:ext cx="266700" cy="3302000"/>
        </a:xfrm>
        <a:prstGeom prst="leftBrace">
          <a:avLst>
            <a:gd name="adj1" fmla="val 103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136525</xdr:colOff>
      <xdr:row>37</xdr:row>
      <xdr:rowOff>133350</xdr:rowOff>
    </xdr:from>
    <xdr:ext cx="270950" cy="170560"/>
    <xdr:sp macro="" textlink="">
      <xdr:nvSpPr>
        <xdr:cNvPr id="17457" name="Text Box 49">
          <a:extLst>
            <a:ext uri="{FF2B5EF4-FFF2-40B4-BE49-F238E27FC236}">
              <a16:creationId xmlns:a16="http://schemas.microsoft.com/office/drawing/2014/main" id="{9DA8BD37-B4EE-2646-8978-E4F6FCBB159F}"/>
            </a:ext>
          </a:extLst>
        </xdr:cNvPr>
        <xdr:cNvSpPr txBox="1">
          <a:spLocks noChangeArrowheads="1"/>
        </xdr:cNvSpPr>
      </xdr:nvSpPr>
      <xdr:spPr bwMode="auto">
        <a:xfrm>
          <a:off x="123825" y="6305550"/>
          <a:ext cx="232243"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S/C</a:t>
          </a:r>
        </a:p>
      </xdr:txBody>
    </xdr:sp>
    <xdr:clientData/>
  </xdr:oneCellAnchor>
  <xdr:oneCellAnchor>
    <xdr:from>
      <xdr:col>0</xdr:col>
      <xdr:colOff>0</xdr:colOff>
      <xdr:row>94</xdr:row>
      <xdr:rowOff>0</xdr:rowOff>
    </xdr:from>
    <xdr:ext cx="557575" cy="318036"/>
    <xdr:sp macro="" textlink="">
      <xdr:nvSpPr>
        <xdr:cNvPr id="17458" name="Text Box 50">
          <a:extLst>
            <a:ext uri="{FF2B5EF4-FFF2-40B4-BE49-F238E27FC236}">
              <a16:creationId xmlns:a16="http://schemas.microsoft.com/office/drawing/2014/main" id="{B9C3A193-AA2B-0A4C-A1B1-BB8786843B3B}"/>
            </a:ext>
          </a:extLst>
        </xdr:cNvPr>
        <xdr:cNvSpPr txBox="1">
          <a:spLocks noChangeArrowheads="1"/>
        </xdr:cNvSpPr>
      </xdr:nvSpPr>
      <xdr:spPr bwMode="auto">
        <a:xfrm>
          <a:off x="0" y="15401925"/>
          <a:ext cx="481542" cy="318036"/>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Ground</a:t>
          </a:r>
        </a:p>
        <a:p>
          <a:pPr algn="l" rtl="1">
            <a:defRPr sz="1000"/>
          </a:pPr>
          <a:r>
            <a:rPr lang="en-US" sz="1000" b="1" i="0" strike="noStrike">
              <a:solidFill>
                <a:srgbClr val="000000"/>
              </a:solidFill>
              <a:latin typeface="Arial"/>
              <a:cs typeface="Arial"/>
            </a:rPr>
            <a:t>Station</a:t>
          </a:r>
        </a:p>
      </xdr:txBody>
    </xdr:sp>
    <xdr:clientData/>
  </xdr:oneCellAnchor>
  <xdr:twoCellAnchor>
    <xdr:from>
      <xdr:col>3</xdr:col>
      <xdr:colOff>0</xdr:colOff>
      <xdr:row>4</xdr:row>
      <xdr:rowOff>76200</xdr:rowOff>
    </xdr:from>
    <xdr:to>
      <xdr:col>3</xdr:col>
      <xdr:colOff>749300</xdr:colOff>
      <xdr:row>4</xdr:row>
      <xdr:rowOff>76200</xdr:rowOff>
    </xdr:to>
    <xdr:sp macro="" textlink="">
      <xdr:nvSpPr>
        <xdr:cNvPr id="84742" name="Line 51">
          <a:extLst>
            <a:ext uri="{FF2B5EF4-FFF2-40B4-BE49-F238E27FC236}">
              <a16:creationId xmlns:a16="http://schemas.microsoft.com/office/drawing/2014/main" id="{1CE3FF2C-742C-9740-9B4D-597748D6D6C6}"/>
            </a:ext>
          </a:extLst>
        </xdr:cNvPr>
        <xdr:cNvSpPr>
          <a:spLocks noChangeShapeType="1"/>
        </xdr:cNvSpPr>
      </xdr:nvSpPr>
      <xdr:spPr bwMode="auto">
        <a:xfrm>
          <a:off x="2349500" y="850900"/>
          <a:ext cx="749300" cy="0"/>
        </a:xfrm>
        <a:prstGeom prst="line">
          <a:avLst/>
        </a:prstGeom>
        <a:noFill/>
        <a:ln w="9525">
          <a:solidFill>
            <a:srgbClr val="000000"/>
          </a:solidFill>
          <a:prstDash val="lgDashDot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12700</xdr:colOff>
      <xdr:row>6</xdr:row>
      <xdr:rowOff>88900</xdr:rowOff>
    </xdr:from>
    <xdr:to>
      <xdr:col>3</xdr:col>
      <xdr:colOff>762000</xdr:colOff>
      <xdr:row>6</xdr:row>
      <xdr:rowOff>88900</xdr:rowOff>
    </xdr:to>
    <xdr:sp macro="" textlink="">
      <xdr:nvSpPr>
        <xdr:cNvPr id="84743" name="Line 52">
          <a:extLst>
            <a:ext uri="{FF2B5EF4-FFF2-40B4-BE49-F238E27FC236}">
              <a16:creationId xmlns:a16="http://schemas.microsoft.com/office/drawing/2014/main" id="{92AF8B51-9DA6-A146-935A-1516E3B17E58}"/>
            </a:ext>
          </a:extLst>
        </xdr:cNvPr>
        <xdr:cNvSpPr>
          <a:spLocks noChangeShapeType="1"/>
        </xdr:cNvSpPr>
      </xdr:nvSpPr>
      <xdr:spPr bwMode="auto">
        <a:xfrm>
          <a:off x="2362200" y="1219200"/>
          <a:ext cx="749300" cy="0"/>
        </a:xfrm>
        <a:prstGeom prst="line">
          <a:avLst/>
        </a:prstGeom>
        <a:noFill/>
        <a:ln w="9525">
          <a:solidFill>
            <a:srgbClr val="000000"/>
          </a:solidFill>
          <a:prstDash val="lgDashDotDot"/>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392424</xdr:colOff>
      <xdr:row>70</xdr:row>
      <xdr:rowOff>28575</xdr:rowOff>
    </xdr:from>
    <xdr:ext cx="514427" cy="318036"/>
    <xdr:sp macro="" textlink="">
      <xdr:nvSpPr>
        <xdr:cNvPr id="17461" name="Text Box 53">
          <a:extLst>
            <a:ext uri="{FF2B5EF4-FFF2-40B4-BE49-F238E27FC236}">
              <a16:creationId xmlns:a16="http://schemas.microsoft.com/office/drawing/2014/main" id="{928C3FED-0AFD-C747-8684-02BC6653891A}"/>
            </a:ext>
          </a:extLst>
        </xdr:cNvPr>
        <xdr:cNvSpPr txBox="1">
          <a:spLocks noChangeArrowheads="1"/>
        </xdr:cNvSpPr>
      </xdr:nvSpPr>
      <xdr:spPr bwMode="auto">
        <a:xfrm>
          <a:off x="341624" y="11544300"/>
          <a:ext cx="450124" cy="318036"/>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RADIO</a:t>
          </a:r>
        </a:p>
        <a:p>
          <a:pPr algn="ctr" rtl="1">
            <a:defRPr sz="1000"/>
          </a:pPr>
          <a:r>
            <a:rPr lang="en-US" sz="1000" b="1" i="0" strike="noStrike">
              <a:solidFill>
                <a:srgbClr val="000000"/>
              </a:solidFill>
              <a:latin typeface="Arial"/>
              <a:cs typeface="Arial"/>
            </a:rPr>
            <a:t>LINK</a:t>
          </a:r>
        </a:p>
      </xdr:txBody>
    </xdr:sp>
    <xdr:clientData/>
  </xdr:oneCellAnchor>
  <xdr:twoCellAnchor>
    <xdr:from>
      <xdr:col>10</xdr:col>
      <xdr:colOff>0</xdr:colOff>
      <xdr:row>5</xdr:row>
      <xdr:rowOff>165100</xdr:rowOff>
    </xdr:from>
    <xdr:to>
      <xdr:col>12</xdr:col>
      <xdr:colOff>12700</xdr:colOff>
      <xdr:row>9</xdr:row>
      <xdr:rowOff>0</xdr:rowOff>
    </xdr:to>
    <xdr:sp macro="" textlink="">
      <xdr:nvSpPr>
        <xdr:cNvPr id="84745" name="Rectangle 55">
          <a:extLst>
            <a:ext uri="{FF2B5EF4-FFF2-40B4-BE49-F238E27FC236}">
              <a16:creationId xmlns:a16="http://schemas.microsoft.com/office/drawing/2014/main" id="{A6EF6B65-AF61-4746-939F-02F088A2D73F}"/>
            </a:ext>
          </a:extLst>
        </xdr:cNvPr>
        <xdr:cNvSpPr>
          <a:spLocks noChangeArrowheads="1"/>
        </xdr:cNvSpPr>
      </xdr:nvSpPr>
      <xdr:spPr bwMode="auto">
        <a:xfrm>
          <a:off x="6946900" y="1117600"/>
          <a:ext cx="1549400" cy="520700"/>
        </a:xfrm>
        <a:prstGeom prst="rect">
          <a:avLst/>
        </a:prstGeom>
        <a:solidFill>
          <a:srgbClr val="99CCFF"/>
        </a:solidFill>
        <a:ln w="19050">
          <a:solidFill>
            <a:srgbClr val="000000"/>
          </a:solidFill>
          <a:miter lim="800000"/>
          <a:headEnd/>
          <a:tailEnd/>
        </a:ln>
      </xdr:spPr>
    </xdr:sp>
    <xdr:clientData/>
  </xdr:twoCellAnchor>
  <xdr:twoCellAnchor>
    <xdr:from>
      <xdr:col>10</xdr:col>
      <xdr:colOff>257175</xdr:colOff>
      <xdr:row>11</xdr:row>
      <xdr:rowOff>9525</xdr:rowOff>
    </xdr:from>
    <xdr:to>
      <xdr:col>11</xdr:col>
      <xdr:colOff>530072</xdr:colOff>
      <xdr:row>16</xdr:row>
      <xdr:rowOff>19050</xdr:rowOff>
    </xdr:to>
    <xdr:sp macro="" textlink="">
      <xdr:nvSpPr>
        <xdr:cNvPr id="17464" name="AutoShape 56">
          <a:extLst>
            <a:ext uri="{FF2B5EF4-FFF2-40B4-BE49-F238E27FC236}">
              <a16:creationId xmlns:a16="http://schemas.microsoft.com/office/drawing/2014/main" id="{E2719FA8-DB1A-924F-BB1F-BE7679D7C857}"/>
            </a:ext>
          </a:extLst>
        </xdr:cNvPr>
        <xdr:cNvSpPr>
          <a:spLocks noChangeArrowheads="1"/>
        </xdr:cNvSpPr>
      </xdr:nvSpPr>
      <xdr:spPr bwMode="auto">
        <a:xfrm rot="10800000">
          <a:off x="6324600" y="1933575"/>
          <a:ext cx="952500" cy="857250"/>
        </a:xfrm>
        <a:prstGeom prst="triangle">
          <a:avLst>
            <a:gd name="adj" fmla="val 50000"/>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HPA</a:t>
          </a:r>
        </a:p>
      </xdr:txBody>
    </xdr:sp>
    <xdr:clientData/>
  </xdr:twoCellAnchor>
  <xdr:twoCellAnchor>
    <xdr:from>
      <xdr:col>10</xdr:col>
      <xdr:colOff>9525</xdr:colOff>
      <xdr:row>23</xdr:row>
      <xdr:rowOff>0</xdr:rowOff>
    </xdr:from>
    <xdr:to>
      <xdr:col>11</xdr:col>
      <xdr:colOff>689383</xdr:colOff>
      <xdr:row>26</xdr:row>
      <xdr:rowOff>95250</xdr:rowOff>
    </xdr:to>
    <xdr:sp macro="" textlink="">
      <xdr:nvSpPr>
        <xdr:cNvPr id="17465" name="Rectangle 57">
          <a:extLst>
            <a:ext uri="{FF2B5EF4-FFF2-40B4-BE49-F238E27FC236}">
              <a16:creationId xmlns:a16="http://schemas.microsoft.com/office/drawing/2014/main" id="{C58CE2A2-8ADB-A741-A67E-92710F579906}"/>
            </a:ext>
          </a:extLst>
        </xdr:cNvPr>
        <xdr:cNvSpPr>
          <a:spLocks noChangeArrowheads="1"/>
        </xdr:cNvSpPr>
      </xdr:nvSpPr>
      <xdr:spPr bwMode="auto">
        <a:xfrm>
          <a:off x="6115050" y="3905250"/>
          <a:ext cx="1295400" cy="581025"/>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Other </a:t>
          </a:r>
        </a:p>
        <a:p>
          <a:pPr algn="ctr" rtl="1">
            <a:defRPr sz="1000"/>
          </a:pPr>
          <a:r>
            <a:rPr lang="en-US" sz="1000" b="1" i="0" strike="noStrike">
              <a:solidFill>
                <a:srgbClr val="000000"/>
              </a:solidFill>
              <a:latin typeface="Arial"/>
              <a:cs typeface="Arial"/>
            </a:rPr>
            <a:t>In-Line</a:t>
          </a:r>
        </a:p>
        <a:p>
          <a:pPr algn="ctr" rtl="1">
            <a:defRPr sz="1000"/>
          </a:pPr>
          <a:r>
            <a:rPr lang="en-US" sz="1000" b="1" i="0" strike="noStrike">
              <a:solidFill>
                <a:srgbClr val="000000"/>
              </a:solidFill>
              <a:latin typeface="Arial"/>
              <a:cs typeface="Arial"/>
            </a:rPr>
            <a:t>Device</a:t>
          </a:r>
        </a:p>
      </xdr:txBody>
    </xdr:sp>
    <xdr:clientData/>
  </xdr:twoCellAnchor>
  <xdr:twoCellAnchor>
    <xdr:from>
      <xdr:col>10</xdr:col>
      <xdr:colOff>19050</xdr:colOff>
      <xdr:row>18</xdr:row>
      <xdr:rowOff>9525</xdr:rowOff>
    </xdr:from>
    <xdr:to>
      <xdr:col>12</xdr:col>
      <xdr:colOff>0</xdr:colOff>
      <xdr:row>21</xdr:row>
      <xdr:rowOff>19050</xdr:rowOff>
    </xdr:to>
    <xdr:sp macro="" textlink="">
      <xdr:nvSpPr>
        <xdr:cNvPr id="17466" name="Rectangle 58">
          <a:extLst>
            <a:ext uri="{FF2B5EF4-FFF2-40B4-BE49-F238E27FC236}">
              <a16:creationId xmlns:a16="http://schemas.microsoft.com/office/drawing/2014/main" id="{4A5DB733-50BC-6845-973E-F4DEF1A42F63}"/>
            </a:ext>
          </a:extLst>
        </xdr:cNvPr>
        <xdr:cNvSpPr>
          <a:spLocks noChangeArrowheads="1"/>
        </xdr:cNvSpPr>
      </xdr:nvSpPr>
      <xdr:spPr bwMode="auto">
        <a:xfrm>
          <a:off x="6124575" y="3105150"/>
          <a:ext cx="133350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Transmit</a:t>
          </a:r>
        </a:p>
        <a:p>
          <a:pPr algn="ctr" rtl="1">
            <a:defRPr sz="1000"/>
          </a:pPr>
          <a:r>
            <a:rPr lang="en-US" sz="1000" b="1" i="0" strike="noStrike">
              <a:solidFill>
                <a:srgbClr val="000000"/>
              </a:solidFill>
              <a:latin typeface="Arial"/>
              <a:cs typeface="Arial"/>
            </a:rPr>
            <a:t>Bandpass</a:t>
          </a:r>
        </a:p>
        <a:p>
          <a:pPr algn="ctr" rtl="1">
            <a:defRPr sz="1000"/>
          </a:pPr>
          <a:r>
            <a:rPr lang="en-US" sz="1000" b="1" i="0" strike="noStrike">
              <a:solidFill>
                <a:srgbClr val="000000"/>
              </a:solidFill>
              <a:latin typeface="Arial"/>
              <a:cs typeface="Arial"/>
            </a:rPr>
            <a:t>Filter</a:t>
          </a:r>
        </a:p>
      </xdr:txBody>
    </xdr:sp>
    <xdr:clientData/>
  </xdr:twoCellAnchor>
  <xdr:twoCellAnchor>
    <xdr:from>
      <xdr:col>11</xdr:col>
      <xdr:colOff>0</xdr:colOff>
      <xdr:row>21</xdr:row>
      <xdr:rowOff>25400</xdr:rowOff>
    </xdr:from>
    <xdr:to>
      <xdr:col>11</xdr:col>
      <xdr:colOff>0</xdr:colOff>
      <xdr:row>23</xdr:row>
      <xdr:rowOff>12700</xdr:rowOff>
    </xdr:to>
    <xdr:sp macro="" textlink="">
      <xdr:nvSpPr>
        <xdr:cNvPr id="84749" name="Line 59">
          <a:extLst>
            <a:ext uri="{FF2B5EF4-FFF2-40B4-BE49-F238E27FC236}">
              <a16:creationId xmlns:a16="http://schemas.microsoft.com/office/drawing/2014/main" id="{18A3A6A6-CA9D-164C-BAD5-9B7CBD666EEC}"/>
            </a:ext>
          </a:extLst>
        </xdr:cNvPr>
        <xdr:cNvSpPr>
          <a:spLocks noChangeShapeType="1"/>
        </xdr:cNvSpPr>
      </xdr:nvSpPr>
      <xdr:spPr bwMode="auto">
        <a:xfrm>
          <a:off x="7747000" y="3683000"/>
          <a:ext cx="0" cy="3175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xdr:row>
      <xdr:rowOff>25400</xdr:rowOff>
    </xdr:from>
    <xdr:to>
      <xdr:col>11</xdr:col>
      <xdr:colOff>0</xdr:colOff>
      <xdr:row>18</xdr:row>
      <xdr:rowOff>12700</xdr:rowOff>
    </xdr:to>
    <xdr:sp macro="" textlink="">
      <xdr:nvSpPr>
        <xdr:cNvPr id="84750" name="Line 60">
          <a:extLst>
            <a:ext uri="{FF2B5EF4-FFF2-40B4-BE49-F238E27FC236}">
              <a16:creationId xmlns:a16="http://schemas.microsoft.com/office/drawing/2014/main" id="{5CFC75CA-A4D8-5F49-9E58-E2574E30C794}"/>
            </a:ext>
          </a:extLst>
        </xdr:cNvPr>
        <xdr:cNvSpPr>
          <a:spLocks noChangeShapeType="1"/>
        </xdr:cNvSpPr>
      </xdr:nvSpPr>
      <xdr:spPr bwMode="auto">
        <a:xfrm>
          <a:off x="7747000" y="2857500"/>
          <a:ext cx="0" cy="3175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9</xdr:row>
      <xdr:rowOff>0</xdr:rowOff>
    </xdr:from>
    <xdr:to>
      <xdr:col>11</xdr:col>
      <xdr:colOff>0</xdr:colOff>
      <xdr:row>11</xdr:row>
      <xdr:rowOff>0</xdr:rowOff>
    </xdr:to>
    <xdr:sp macro="" textlink="">
      <xdr:nvSpPr>
        <xdr:cNvPr id="84751" name="Line 61">
          <a:extLst>
            <a:ext uri="{FF2B5EF4-FFF2-40B4-BE49-F238E27FC236}">
              <a16:creationId xmlns:a16="http://schemas.microsoft.com/office/drawing/2014/main" id="{F0552130-8A65-5D4E-9F49-9140724A1BAF}"/>
            </a:ext>
          </a:extLst>
        </xdr:cNvPr>
        <xdr:cNvSpPr>
          <a:spLocks noChangeShapeType="1"/>
        </xdr:cNvSpPr>
      </xdr:nvSpPr>
      <xdr:spPr bwMode="auto">
        <a:xfrm>
          <a:off x="7747000" y="1638300"/>
          <a:ext cx="0" cy="3302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81983</xdr:colOff>
      <xdr:row>6</xdr:row>
      <xdr:rowOff>0</xdr:rowOff>
    </xdr:from>
    <xdr:ext cx="1214071" cy="465512"/>
    <xdr:sp macro="" textlink="">
      <xdr:nvSpPr>
        <xdr:cNvPr id="17470" name="Text Box 62">
          <a:extLst>
            <a:ext uri="{FF2B5EF4-FFF2-40B4-BE49-F238E27FC236}">
              <a16:creationId xmlns:a16="http://schemas.microsoft.com/office/drawing/2014/main" id="{32F2B6B4-6436-DB4C-95B4-F138165E08CA}"/>
            </a:ext>
          </a:extLst>
        </xdr:cNvPr>
        <xdr:cNvSpPr txBox="1">
          <a:spLocks noChangeArrowheads="1"/>
        </xdr:cNvSpPr>
      </xdr:nvSpPr>
      <xdr:spPr bwMode="auto">
        <a:xfrm>
          <a:off x="6174808" y="1104900"/>
          <a:ext cx="1155702" cy="465512"/>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Transmitter</a:t>
          </a:r>
        </a:p>
        <a:p>
          <a:pPr algn="ctr" rtl="1">
            <a:defRPr sz="1000"/>
          </a:pPr>
          <a:r>
            <a:rPr lang="en-US" sz="1000" b="1" i="0" strike="noStrike">
              <a:solidFill>
                <a:srgbClr val="000000"/>
              </a:solidFill>
              <a:latin typeface="Arial"/>
              <a:cs typeface="Arial"/>
            </a:rPr>
            <a:t>Exciter/Modulator/</a:t>
          </a:r>
        </a:p>
        <a:p>
          <a:pPr algn="ctr" rtl="1">
            <a:defRPr sz="1000"/>
          </a:pPr>
          <a:r>
            <a:rPr lang="en-US" sz="1000" b="1" i="0" strike="noStrike">
              <a:solidFill>
                <a:srgbClr val="000000"/>
              </a:solidFill>
              <a:latin typeface="Arial"/>
              <a:cs typeface="Arial"/>
            </a:rPr>
            <a:t>FEC Encoder</a:t>
          </a:r>
        </a:p>
      </xdr:txBody>
    </xdr:sp>
    <xdr:clientData/>
  </xdr:oneCellAnchor>
  <xdr:twoCellAnchor>
    <xdr:from>
      <xdr:col>11</xdr:col>
      <xdr:colOff>0</xdr:colOff>
      <xdr:row>5</xdr:row>
      <xdr:rowOff>0</xdr:rowOff>
    </xdr:from>
    <xdr:to>
      <xdr:col>11</xdr:col>
      <xdr:colOff>0</xdr:colOff>
      <xdr:row>6</xdr:row>
      <xdr:rowOff>0</xdr:rowOff>
    </xdr:to>
    <xdr:sp macro="" textlink="">
      <xdr:nvSpPr>
        <xdr:cNvPr id="84753" name="Line 63">
          <a:extLst>
            <a:ext uri="{FF2B5EF4-FFF2-40B4-BE49-F238E27FC236}">
              <a16:creationId xmlns:a16="http://schemas.microsoft.com/office/drawing/2014/main" id="{56DA5EDB-679A-5244-A351-89536FA5D51D}"/>
            </a:ext>
          </a:extLst>
        </xdr:cNvPr>
        <xdr:cNvSpPr>
          <a:spLocks noChangeShapeType="1"/>
        </xdr:cNvSpPr>
      </xdr:nvSpPr>
      <xdr:spPr bwMode="auto">
        <a:xfrm>
          <a:off x="7747000" y="952500"/>
          <a:ext cx="0" cy="1778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355600</xdr:colOff>
      <xdr:row>31</xdr:row>
      <xdr:rowOff>101600</xdr:rowOff>
    </xdr:from>
    <xdr:to>
      <xdr:col>11</xdr:col>
      <xdr:colOff>444500</xdr:colOff>
      <xdr:row>36</xdr:row>
      <xdr:rowOff>0</xdr:rowOff>
    </xdr:to>
    <xdr:sp macro="" textlink="">
      <xdr:nvSpPr>
        <xdr:cNvPr id="84754" name="AutoShape 65">
          <a:extLst>
            <a:ext uri="{FF2B5EF4-FFF2-40B4-BE49-F238E27FC236}">
              <a16:creationId xmlns:a16="http://schemas.microsoft.com/office/drawing/2014/main" id="{889B2D83-8CBD-BF44-847F-91ED5323288D}"/>
            </a:ext>
          </a:extLst>
        </xdr:cNvPr>
        <xdr:cNvSpPr>
          <a:spLocks noChangeArrowheads="1"/>
        </xdr:cNvSpPr>
      </xdr:nvSpPr>
      <xdr:spPr bwMode="auto">
        <a:xfrm>
          <a:off x="7302500" y="5410200"/>
          <a:ext cx="889000" cy="723900"/>
        </a:xfrm>
        <a:prstGeom prst="triangle">
          <a:avLst>
            <a:gd name="adj" fmla="val 5000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26</xdr:row>
      <xdr:rowOff>88900</xdr:rowOff>
    </xdr:from>
    <xdr:to>
      <xdr:col>11</xdr:col>
      <xdr:colOff>0</xdr:colOff>
      <xdr:row>36</xdr:row>
      <xdr:rowOff>0</xdr:rowOff>
    </xdr:to>
    <xdr:sp macro="" textlink="">
      <xdr:nvSpPr>
        <xdr:cNvPr id="84755" name="Line 66">
          <a:extLst>
            <a:ext uri="{FF2B5EF4-FFF2-40B4-BE49-F238E27FC236}">
              <a16:creationId xmlns:a16="http://schemas.microsoft.com/office/drawing/2014/main" id="{CF5AC53A-C77C-514A-9F3B-86C8B88F77A1}"/>
            </a:ext>
          </a:extLst>
        </xdr:cNvPr>
        <xdr:cNvSpPr>
          <a:spLocks noChangeShapeType="1"/>
        </xdr:cNvSpPr>
      </xdr:nvSpPr>
      <xdr:spPr bwMode="auto">
        <a:xfrm rot="10800000">
          <a:off x="7747000" y="4572000"/>
          <a:ext cx="0" cy="15621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355600</xdr:colOff>
      <xdr:row>46</xdr:row>
      <xdr:rowOff>0</xdr:rowOff>
    </xdr:from>
    <xdr:to>
      <xdr:col>11</xdr:col>
      <xdr:colOff>444500</xdr:colOff>
      <xdr:row>50</xdr:row>
      <xdr:rowOff>63500</xdr:rowOff>
    </xdr:to>
    <xdr:sp macro="" textlink="">
      <xdr:nvSpPr>
        <xdr:cNvPr id="84756" name="AutoShape 67">
          <a:extLst>
            <a:ext uri="{FF2B5EF4-FFF2-40B4-BE49-F238E27FC236}">
              <a16:creationId xmlns:a16="http://schemas.microsoft.com/office/drawing/2014/main" id="{1D9CEE5C-6DC6-144B-9923-EE22B1F019E2}"/>
            </a:ext>
          </a:extLst>
        </xdr:cNvPr>
        <xdr:cNvSpPr>
          <a:spLocks noChangeArrowheads="1"/>
        </xdr:cNvSpPr>
      </xdr:nvSpPr>
      <xdr:spPr bwMode="auto">
        <a:xfrm rot="10800000">
          <a:off x="7302500" y="7785100"/>
          <a:ext cx="889000" cy="723900"/>
        </a:xfrm>
        <a:prstGeom prst="triangle">
          <a:avLst>
            <a:gd name="adj" fmla="val 5000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46</xdr:row>
      <xdr:rowOff>0</xdr:rowOff>
    </xdr:from>
    <xdr:to>
      <xdr:col>11</xdr:col>
      <xdr:colOff>0</xdr:colOff>
      <xdr:row>55</xdr:row>
      <xdr:rowOff>25400</xdr:rowOff>
    </xdr:to>
    <xdr:sp macro="" textlink="">
      <xdr:nvSpPr>
        <xdr:cNvPr id="84757" name="Line 68">
          <a:extLst>
            <a:ext uri="{FF2B5EF4-FFF2-40B4-BE49-F238E27FC236}">
              <a16:creationId xmlns:a16="http://schemas.microsoft.com/office/drawing/2014/main" id="{EAD27906-CFB4-974D-BFA9-A89618D56DBA}"/>
            </a:ext>
          </a:extLst>
        </xdr:cNvPr>
        <xdr:cNvSpPr>
          <a:spLocks noChangeShapeType="1"/>
        </xdr:cNvSpPr>
      </xdr:nvSpPr>
      <xdr:spPr bwMode="auto">
        <a:xfrm>
          <a:off x="7747000" y="7785100"/>
          <a:ext cx="0" cy="1511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55</xdr:row>
      <xdr:rowOff>0</xdr:rowOff>
    </xdr:from>
    <xdr:to>
      <xdr:col>12</xdr:col>
      <xdr:colOff>9525</xdr:colOff>
      <xdr:row>58</xdr:row>
      <xdr:rowOff>9525</xdr:rowOff>
    </xdr:to>
    <xdr:sp macro="" textlink="">
      <xdr:nvSpPr>
        <xdr:cNvPr id="17477" name="Rectangle 69">
          <a:extLst>
            <a:ext uri="{FF2B5EF4-FFF2-40B4-BE49-F238E27FC236}">
              <a16:creationId xmlns:a16="http://schemas.microsoft.com/office/drawing/2014/main" id="{DE13F500-1B55-3246-8A9D-602F0754F4DE}"/>
            </a:ext>
          </a:extLst>
        </xdr:cNvPr>
        <xdr:cNvSpPr>
          <a:spLocks noChangeArrowheads="1"/>
        </xdr:cNvSpPr>
      </xdr:nvSpPr>
      <xdr:spPr bwMode="auto">
        <a:xfrm>
          <a:off x="6115050" y="9086850"/>
          <a:ext cx="135255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Other</a:t>
          </a:r>
        </a:p>
        <a:p>
          <a:pPr algn="ctr" rtl="1">
            <a:defRPr sz="1000"/>
          </a:pPr>
          <a:r>
            <a:rPr lang="en-US" sz="1000" b="1" i="0" strike="noStrike">
              <a:solidFill>
                <a:srgbClr val="000000"/>
              </a:solidFill>
              <a:latin typeface="Arial"/>
              <a:cs typeface="Arial"/>
            </a:rPr>
            <a:t>In-Line</a:t>
          </a:r>
        </a:p>
        <a:p>
          <a:pPr algn="ctr" rtl="1">
            <a:defRPr sz="1000"/>
          </a:pPr>
          <a:r>
            <a:rPr lang="en-US" sz="1000" b="1" i="0" strike="noStrike">
              <a:solidFill>
                <a:srgbClr val="000000"/>
              </a:solidFill>
              <a:latin typeface="Arial"/>
              <a:cs typeface="Arial"/>
            </a:rPr>
            <a:t>Device</a:t>
          </a:r>
        </a:p>
      </xdr:txBody>
    </xdr:sp>
    <xdr:clientData/>
  </xdr:twoCellAnchor>
  <xdr:twoCellAnchor>
    <xdr:from>
      <xdr:col>10</xdr:col>
      <xdr:colOff>9525</xdr:colOff>
      <xdr:row>60</xdr:row>
      <xdr:rowOff>9525</xdr:rowOff>
    </xdr:from>
    <xdr:to>
      <xdr:col>11</xdr:col>
      <xdr:colOff>689383</xdr:colOff>
      <xdr:row>63</xdr:row>
      <xdr:rowOff>19050</xdr:rowOff>
    </xdr:to>
    <xdr:sp macro="" textlink="">
      <xdr:nvSpPr>
        <xdr:cNvPr id="17478" name="Rectangle 70">
          <a:extLst>
            <a:ext uri="{FF2B5EF4-FFF2-40B4-BE49-F238E27FC236}">
              <a16:creationId xmlns:a16="http://schemas.microsoft.com/office/drawing/2014/main" id="{5F6CAF84-4ECD-8947-8AE7-50AD1721BDB4}"/>
            </a:ext>
          </a:extLst>
        </xdr:cNvPr>
        <xdr:cNvSpPr>
          <a:spLocks noChangeArrowheads="1"/>
        </xdr:cNvSpPr>
      </xdr:nvSpPr>
      <xdr:spPr bwMode="auto">
        <a:xfrm>
          <a:off x="6115050" y="9906000"/>
          <a:ext cx="1295400" cy="4953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Receiver Front End</a:t>
          </a:r>
        </a:p>
        <a:p>
          <a:pPr algn="ctr" rtl="1">
            <a:defRPr sz="1000"/>
          </a:pPr>
          <a:r>
            <a:rPr lang="en-US" sz="1000" b="1" i="0" strike="noStrike">
              <a:solidFill>
                <a:srgbClr val="000000"/>
              </a:solidFill>
              <a:latin typeface="Arial"/>
              <a:cs typeface="Arial"/>
            </a:rPr>
            <a:t>Bandpass</a:t>
          </a:r>
        </a:p>
        <a:p>
          <a:pPr algn="ctr" rtl="1">
            <a:defRPr sz="1000"/>
          </a:pPr>
          <a:r>
            <a:rPr lang="en-US" sz="1000" b="1" i="0" strike="noStrike">
              <a:solidFill>
                <a:srgbClr val="000000"/>
              </a:solidFill>
              <a:latin typeface="Arial"/>
              <a:cs typeface="Arial"/>
            </a:rPr>
            <a:t>Filter</a:t>
          </a:r>
        </a:p>
      </xdr:txBody>
    </xdr:sp>
    <xdr:clientData/>
  </xdr:twoCellAnchor>
  <xdr:twoCellAnchor>
    <xdr:from>
      <xdr:col>11</xdr:col>
      <xdr:colOff>0</xdr:colOff>
      <xdr:row>58</xdr:row>
      <xdr:rowOff>12700</xdr:rowOff>
    </xdr:from>
    <xdr:to>
      <xdr:col>11</xdr:col>
      <xdr:colOff>0</xdr:colOff>
      <xdr:row>60</xdr:row>
      <xdr:rowOff>25400</xdr:rowOff>
    </xdr:to>
    <xdr:sp macro="" textlink="">
      <xdr:nvSpPr>
        <xdr:cNvPr id="84760" name="Line 71">
          <a:extLst>
            <a:ext uri="{FF2B5EF4-FFF2-40B4-BE49-F238E27FC236}">
              <a16:creationId xmlns:a16="http://schemas.microsoft.com/office/drawing/2014/main" id="{E7950736-F33B-E441-BDBF-D7E46F0387E9}"/>
            </a:ext>
          </a:extLst>
        </xdr:cNvPr>
        <xdr:cNvSpPr>
          <a:spLocks noChangeShapeType="1"/>
        </xdr:cNvSpPr>
      </xdr:nvSpPr>
      <xdr:spPr bwMode="auto">
        <a:xfrm>
          <a:off x="7747000" y="9779000"/>
          <a:ext cx="0" cy="3429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63</xdr:row>
      <xdr:rowOff>12700</xdr:rowOff>
    </xdr:from>
    <xdr:to>
      <xdr:col>11</xdr:col>
      <xdr:colOff>0</xdr:colOff>
      <xdr:row>66</xdr:row>
      <xdr:rowOff>0</xdr:rowOff>
    </xdr:to>
    <xdr:sp macro="" textlink="">
      <xdr:nvSpPr>
        <xdr:cNvPr id="84761" name="Line 72">
          <a:extLst>
            <a:ext uri="{FF2B5EF4-FFF2-40B4-BE49-F238E27FC236}">
              <a16:creationId xmlns:a16="http://schemas.microsoft.com/office/drawing/2014/main" id="{B0B48562-EA09-E94C-A285-85965E9BFB20}"/>
            </a:ext>
          </a:extLst>
        </xdr:cNvPr>
        <xdr:cNvSpPr>
          <a:spLocks noChangeShapeType="1"/>
        </xdr:cNvSpPr>
      </xdr:nvSpPr>
      <xdr:spPr bwMode="auto">
        <a:xfrm flipH="1">
          <a:off x="7747000" y="10604500"/>
          <a:ext cx="0" cy="4826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257175</xdr:colOff>
      <xdr:row>66</xdr:row>
      <xdr:rowOff>0</xdr:rowOff>
    </xdr:from>
    <xdr:to>
      <xdr:col>11</xdr:col>
      <xdr:colOff>530072</xdr:colOff>
      <xdr:row>70</xdr:row>
      <xdr:rowOff>152400</xdr:rowOff>
    </xdr:to>
    <xdr:sp macro="" textlink="">
      <xdr:nvSpPr>
        <xdr:cNvPr id="17481" name="AutoShape 73">
          <a:extLst>
            <a:ext uri="{FF2B5EF4-FFF2-40B4-BE49-F238E27FC236}">
              <a16:creationId xmlns:a16="http://schemas.microsoft.com/office/drawing/2014/main" id="{51602C46-E80E-E94C-86D3-77456B1B4576}"/>
            </a:ext>
          </a:extLst>
        </xdr:cNvPr>
        <xdr:cNvSpPr>
          <a:spLocks noChangeArrowheads="1"/>
        </xdr:cNvSpPr>
      </xdr:nvSpPr>
      <xdr:spPr bwMode="auto">
        <a:xfrm rot="10800000">
          <a:off x="6324600" y="10868025"/>
          <a:ext cx="952500" cy="800100"/>
        </a:xfrm>
        <a:prstGeom prst="triangle">
          <a:avLst>
            <a:gd name="adj" fmla="val 50000"/>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LNA</a:t>
          </a:r>
        </a:p>
      </xdr:txBody>
    </xdr:sp>
    <xdr:clientData/>
  </xdr:twoCellAnchor>
  <xdr:twoCellAnchor>
    <xdr:from>
      <xdr:col>10</xdr:col>
      <xdr:colOff>736600</xdr:colOff>
      <xdr:row>36</xdr:row>
      <xdr:rowOff>139700</xdr:rowOff>
    </xdr:from>
    <xdr:to>
      <xdr:col>11</xdr:col>
      <xdr:colOff>63500</xdr:colOff>
      <xdr:row>45</xdr:row>
      <xdr:rowOff>50800</xdr:rowOff>
    </xdr:to>
    <xdr:sp macro="" textlink="">
      <xdr:nvSpPr>
        <xdr:cNvPr id="84763" name="AutoShape 74">
          <a:extLst>
            <a:ext uri="{FF2B5EF4-FFF2-40B4-BE49-F238E27FC236}">
              <a16:creationId xmlns:a16="http://schemas.microsoft.com/office/drawing/2014/main" id="{7C58A691-9DE4-2E47-9932-4310927E6132}"/>
            </a:ext>
          </a:extLst>
        </xdr:cNvPr>
        <xdr:cNvSpPr>
          <a:spLocks noChangeArrowheads="1"/>
        </xdr:cNvSpPr>
      </xdr:nvSpPr>
      <xdr:spPr bwMode="auto">
        <a:xfrm rot="10800000">
          <a:off x="7683500" y="6273800"/>
          <a:ext cx="127000" cy="1397000"/>
        </a:xfrm>
        <a:prstGeom prst="upArrow">
          <a:avLst>
            <a:gd name="adj1" fmla="val 50000"/>
            <a:gd name="adj2" fmla="val 275000"/>
          </a:avLst>
        </a:prstGeom>
        <a:solidFill>
          <a:srgbClr val="FF0000"/>
        </a:solidFill>
        <a:ln w="9525">
          <a:solidFill>
            <a:srgbClr val="FF0000"/>
          </a:solidFill>
          <a:miter lim="800000"/>
          <a:headEnd/>
          <a:tailEnd/>
        </a:ln>
      </xdr:spPr>
    </xdr:sp>
    <xdr:clientData/>
  </xdr:twoCellAnchor>
  <xdr:twoCellAnchor>
    <xdr:from>
      <xdr:col>10</xdr:col>
      <xdr:colOff>571500</xdr:colOff>
      <xdr:row>40</xdr:row>
      <xdr:rowOff>127000</xdr:rowOff>
    </xdr:from>
    <xdr:to>
      <xdr:col>11</xdr:col>
      <xdr:colOff>215900</xdr:colOff>
      <xdr:row>41</xdr:row>
      <xdr:rowOff>114300</xdr:rowOff>
    </xdr:to>
    <xdr:sp macro="" textlink="">
      <xdr:nvSpPr>
        <xdr:cNvPr id="84764" name="AutoShape 75">
          <a:extLst>
            <a:ext uri="{FF2B5EF4-FFF2-40B4-BE49-F238E27FC236}">
              <a16:creationId xmlns:a16="http://schemas.microsoft.com/office/drawing/2014/main" id="{7977FB12-C85F-1D41-9DAC-A7DDA61C0F4A}"/>
            </a:ext>
          </a:extLst>
        </xdr:cNvPr>
        <xdr:cNvSpPr>
          <a:spLocks noChangeArrowheads="1"/>
        </xdr:cNvSpPr>
      </xdr:nvSpPr>
      <xdr:spPr bwMode="auto">
        <a:xfrm rot="-10372499">
          <a:off x="7518400" y="6921500"/>
          <a:ext cx="444500" cy="152400"/>
        </a:xfrm>
        <a:prstGeom prst="wave">
          <a:avLst>
            <a:gd name="adj1" fmla="val 20644"/>
            <a:gd name="adj2" fmla="val -1162"/>
          </a:avLst>
        </a:prstGeom>
        <a:solidFill>
          <a:srgbClr val="C0C0C0"/>
        </a:solidFill>
        <a:ln w="9525">
          <a:solidFill>
            <a:srgbClr val="000000"/>
          </a:solidFill>
          <a:round/>
          <a:headEnd/>
          <a:tailEnd/>
        </a:ln>
      </xdr:spPr>
    </xdr:sp>
    <xdr:clientData/>
  </xdr:twoCellAnchor>
  <xdr:twoCellAnchor>
    <xdr:from>
      <xdr:col>10</xdr:col>
      <xdr:colOff>495300</xdr:colOff>
      <xdr:row>40</xdr:row>
      <xdr:rowOff>114300</xdr:rowOff>
    </xdr:from>
    <xdr:to>
      <xdr:col>10</xdr:col>
      <xdr:colOff>584200</xdr:colOff>
      <xdr:row>41</xdr:row>
      <xdr:rowOff>88900</xdr:rowOff>
    </xdr:to>
    <xdr:sp macro="" textlink="">
      <xdr:nvSpPr>
        <xdr:cNvPr id="84765" name="Rectangle 76">
          <a:extLst>
            <a:ext uri="{FF2B5EF4-FFF2-40B4-BE49-F238E27FC236}">
              <a16:creationId xmlns:a16="http://schemas.microsoft.com/office/drawing/2014/main" id="{6259C32E-CBAA-A440-86C4-7812DE9BF683}"/>
            </a:ext>
          </a:extLst>
        </xdr:cNvPr>
        <xdr:cNvSpPr>
          <a:spLocks noChangeArrowheads="1"/>
        </xdr:cNvSpPr>
      </xdr:nvSpPr>
      <xdr:spPr bwMode="auto">
        <a:xfrm rot="-10232260">
          <a:off x="7442200" y="6908800"/>
          <a:ext cx="88900" cy="139700"/>
        </a:xfrm>
        <a:prstGeom prst="rect">
          <a:avLst/>
        </a:prstGeom>
        <a:solidFill>
          <a:srgbClr val="C0C0C0"/>
        </a:solidFill>
        <a:ln w="9525">
          <a:solidFill>
            <a:srgbClr val="C0C0C0"/>
          </a:solidFill>
          <a:miter lim="800000"/>
          <a:headEnd/>
          <a:tailEnd/>
        </a:ln>
      </xdr:spPr>
    </xdr:sp>
    <xdr:clientData/>
  </xdr:twoCellAnchor>
  <xdr:twoCellAnchor>
    <xdr:from>
      <xdr:col>11</xdr:col>
      <xdr:colOff>190500</xdr:colOff>
      <xdr:row>40</xdr:row>
      <xdr:rowOff>139700</xdr:rowOff>
    </xdr:from>
    <xdr:to>
      <xdr:col>11</xdr:col>
      <xdr:colOff>266700</xdr:colOff>
      <xdr:row>41</xdr:row>
      <xdr:rowOff>114300</xdr:rowOff>
    </xdr:to>
    <xdr:sp macro="" textlink="">
      <xdr:nvSpPr>
        <xdr:cNvPr id="84766" name="Rectangle 77">
          <a:extLst>
            <a:ext uri="{FF2B5EF4-FFF2-40B4-BE49-F238E27FC236}">
              <a16:creationId xmlns:a16="http://schemas.microsoft.com/office/drawing/2014/main" id="{EE55262F-1153-A14C-84F8-EE585896A4A7}"/>
            </a:ext>
          </a:extLst>
        </xdr:cNvPr>
        <xdr:cNvSpPr>
          <a:spLocks noChangeArrowheads="1"/>
        </xdr:cNvSpPr>
      </xdr:nvSpPr>
      <xdr:spPr bwMode="auto">
        <a:xfrm rot="-10232260">
          <a:off x="7937500" y="6934200"/>
          <a:ext cx="76200" cy="139700"/>
        </a:xfrm>
        <a:prstGeom prst="rect">
          <a:avLst/>
        </a:prstGeom>
        <a:solidFill>
          <a:srgbClr val="C0C0C0"/>
        </a:solidFill>
        <a:ln w="9525">
          <a:solidFill>
            <a:srgbClr val="C0C0C0"/>
          </a:solidFill>
          <a:miter lim="800000"/>
          <a:headEnd/>
          <a:tailEnd/>
        </a:ln>
      </xdr:spPr>
    </xdr:sp>
    <xdr:clientData/>
  </xdr:twoCellAnchor>
  <xdr:twoCellAnchor>
    <xdr:from>
      <xdr:col>10</xdr:col>
      <xdr:colOff>381000</xdr:colOff>
      <xdr:row>73</xdr:row>
      <xdr:rowOff>12700</xdr:rowOff>
    </xdr:from>
    <xdr:to>
      <xdr:col>11</xdr:col>
      <xdr:colOff>419100</xdr:colOff>
      <xdr:row>76</xdr:row>
      <xdr:rowOff>127000</xdr:rowOff>
    </xdr:to>
    <xdr:sp macro="" textlink="">
      <xdr:nvSpPr>
        <xdr:cNvPr id="84767" name="AutoShape 78">
          <a:extLst>
            <a:ext uri="{FF2B5EF4-FFF2-40B4-BE49-F238E27FC236}">
              <a16:creationId xmlns:a16="http://schemas.microsoft.com/office/drawing/2014/main" id="{1D78194D-F627-E24D-8147-609BB1978CAE}"/>
            </a:ext>
          </a:extLst>
        </xdr:cNvPr>
        <xdr:cNvSpPr>
          <a:spLocks noChangeArrowheads="1"/>
        </xdr:cNvSpPr>
      </xdr:nvSpPr>
      <xdr:spPr bwMode="auto">
        <a:xfrm rot="10800000">
          <a:off x="7327900" y="12255500"/>
          <a:ext cx="838200" cy="609600"/>
        </a:xfrm>
        <a:prstGeom prst="triangle">
          <a:avLst>
            <a:gd name="adj" fmla="val 50000"/>
          </a:avLst>
        </a:prstGeom>
        <a:solidFill>
          <a:srgbClr val="99CCFF"/>
        </a:solidFill>
        <a:ln w="19050">
          <a:solidFill>
            <a:srgbClr val="000000"/>
          </a:solidFill>
          <a:miter lim="800000"/>
          <a:headEnd/>
          <a:tailEnd/>
        </a:ln>
      </xdr:spPr>
    </xdr:sp>
    <xdr:clientData/>
  </xdr:twoCellAnchor>
  <xdr:twoCellAnchor>
    <xdr:from>
      <xdr:col>10</xdr:col>
      <xdr:colOff>9525</xdr:colOff>
      <xdr:row>80</xdr:row>
      <xdr:rowOff>9525</xdr:rowOff>
    </xdr:from>
    <xdr:to>
      <xdr:col>12</xdr:col>
      <xdr:colOff>0</xdr:colOff>
      <xdr:row>84</xdr:row>
      <xdr:rowOff>9525</xdr:rowOff>
    </xdr:to>
    <xdr:sp macro="" textlink="">
      <xdr:nvSpPr>
        <xdr:cNvPr id="17487" name="Rectangle 79">
          <a:extLst>
            <a:ext uri="{FF2B5EF4-FFF2-40B4-BE49-F238E27FC236}">
              <a16:creationId xmlns:a16="http://schemas.microsoft.com/office/drawing/2014/main" id="{69C90B66-6DFE-2449-8BAE-B88E9035CC1F}"/>
            </a:ext>
          </a:extLst>
        </xdr:cNvPr>
        <xdr:cNvSpPr>
          <a:spLocks noChangeArrowheads="1"/>
        </xdr:cNvSpPr>
      </xdr:nvSpPr>
      <xdr:spPr bwMode="auto">
        <a:xfrm rot="10800000">
          <a:off x="6115050" y="13144500"/>
          <a:ext cx="1343025" cy="64770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Downconverters</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Mixers</a:t>
          </a:r>
          <a:endParaRPr lang="en-US" sz="1000" b="0" i="0" strike="noStrike">
            <a:solidFill>
              <a:srgbClr val="000000"/>
            </a:solidFill>
            <a:latin typeface="Arial"/>
            <a:cs typeface="Arial"/>
          </a:endParaRPr>
        </a:p>
        <a:p>
          <a:pPr algn="ctr" rtl="1">
            <a:defRPr sz="1000"/>
          </a:pPr>
          <a:r>
            <a:rPr lang="en-US" sz="1000" b="1" i="0" strike="noStrike">
              <a:solidFill>
                <a:srgbClr val="000000"/>
              </a:solidFill>
              <a:latin typeface="Arial"/>
              <a:cs typeface="Arial"/>
            </a:rPr>
            <a:t>IF</a:t>
          </a:r>
          <a:r>
            <a:rPr lang="en-US" sz="1000" b="0" i="0" strike="noStrike">
              <a:solidFill>
                <a:srgbClr val="000000"/>
              </a:solidFill>
              <a:latin typeface="Arial"/>
              <a:cs typeface="Arial"/>
            </a:rPr>
            <a:t> </a:t>
          </a:r>
          <a:r>
            <a:rPr lang="en-US" sz="1000" b="1" i="0" strike="noStrike">
              <a:solidFill>
                <a:srgbClr val="000000"/>
              </a:solidFill>
              <a:latin typeface="Arial"/>
              <a:cs typeface="Arial"/>
            </a:rPr>
            <a:t>Amplification</a:t>
          </a:r>
        </a:p>
      </xdr:txBody>
    </xdr:sp>
    <xdr:clientData/>
  </xdr:twoCellAnchor>
  <xdr:twoCellAnchor>
    <xdr:from>
      <xdr:col>10</xdr:col>
      <xdr:colOff>787400</xdr:colOff>
      <xdr:row>76</xdr:row>
      <xdr:rowOff>139700</xdr:rowOff>
    </xdr:from>
    <xdr:to>
      <xdr:col>11</xdr:col>
      <xdr:colOff>0</xdr:colOff>
      <xdr:row>80</xdr:row>
      <xdr:rowOff>0</xdr:rowOff>
    </xdr:to>
    <xdr:sp macro="" textlink="">
      <xdr:nvSpPr>
        <xdr:cNvPr id="84769" name="Line 80">
          <a:extLst>
            <a:ext uri="{FF2B5EF4-FFF2-40B4-BE49-F238E27FC236}">
              <a16:creationId xmlns:a16="http://schemas.microsoft.com/office/drawing/2014/main" id="{0FAD22C8-21C9-074C-B174-332CA514E6A6}"/>
            </a:ext>
          </a:extLst>
        </xdr:cNvPr>
        <xdr:cNvSpPr>
          <a:spLocks noChangeShapeType="1"/>
        </xdr:cNvSpPr>
      </xdr:nvSpPr>
      <xdr:spPr bwMode="auto">
        <a:xfrm rot="10800000" flipH="1">
          <a:off x="7734300" y="12877800"/>
          <a:ext cx="12700" cy="5207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84</xdr:row>
      <xdr:rowOff>12700</xdr:rowOff>
    </xdr:from>
    <xdr:to>
      <xdr:col>11</xdr:col>
      <xdr:colOff>0</xdr:colOff>
      <xdr:row>86</xdr:row>
      <xdr:rowOff>38100</xdr:rowOff>
    </xdr:to>
    <xdr:sp macro="" textlink="">
      <xdr:nvSpPr>
        <xdr:cNvPr id="84770" name="Line 81">
          <a:extLst>
            <a:ext uri="{FF2B5EF4-FFF2-40B4-BE49-F238E27FC236}">
              <a16:creationId xmlns:a16="http://schemas.microsoft.com/office/drawing/2014/main" id="{0BEBE95C-EAE5-2E47-9490-276EEB6FC8CB}"/>
            </a:ext>
          </a:extLst>
        </xdr:cNvPr>
        <xdr:cNvSpPr>
          <a:spLocks noChangeShapeType="1"/>
        </xdr:cNvSpPr>
      </xdr:nvSpPr>
      <xdr:spPr bwMode="auto">
        <a:xfrm rot="10800000">
          <a:off x="7747000" y="14071600"/>
          <a:ext cx="0" cy="3556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441325</xdr:colOff>
      <xdr:row>73</xdr:row>
      <xdr:rowOff>0</xdr:rowOff>
    </xdr:from>
    <xdr:to>
      <xdr:col>11</xdr:col>
      <xdr:colOff>352425</xdr:colOff>
      <xdr:row>75</xdr:row>
      <xdr:rowOff>38100</xdr:rowOff>
    </xdr:to>
    <xdr:sp macro="" textlink="">
      <xdr:nvSpPr>
        <xdr:cNvPr id="17490" name="Text Box 82">
          <a:extLst>
            <a:ext uri="{FF2B5EF4-FFF2-40B4-BE49-F238E27FC236}">
              <a16:creationId xmlns:a16="http://schemas.microsoft.com/office/drawing/2014/main" id="{82BD84F8-7DA0-1647-B48E-B08915E016C1}"/>
            </a:ext>
          </a:extLst>
        </xdr:cNvPr>
        <xdr:cNvSpPr txBox="1">
          <a:spLocks noChangeArrowheads="1"/>
        </xdr:cNvSpPr>
      </xdr:nvSpPr>
      <xdr:spPr bwMode="auto">
        <a:xfrm>
          <a:off x="6496050" y="12001500"/>
          <a:ext cx="628650" cy="36195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2nd </a:t>
          </a:r>
        </a:p>
        <a:p>
          <a:pPr algn="ctr" rtl="1">
            <a:defRPr sz="1000"/>
          </a:pPr>
          <a:r>
            <a:rPr lang="en-US" sz="1000" b="1" i="0" strike="noStrike">
              <a:solidFill>
                <a:srgbClr val="000000"/>
              </a:solidFill>
              <a:latin typeface="Arial"/>
              <a:cs typeface="Arial"/>
            </a:rPr>
            <a:t>Amp.</a:t>
          </a:r>
        </a:p>
      </xdr:txBody>
    </xdr:sp>
    <xdr:clientData/>
  </xdr:twoCellAnchor>
  <xdr:twoCellAnchor>
    <xdr:from>
      <xdr:col>11</xdr:col>
      <xdr:colOff>0</xdr:colOff>
      <xdr:row>70</xdr:row>
      <xdr:rowOff>152400</xdr:rowOff>
    </xdr:from>
    <xdr:to>
      <xdr:col>11</xdr:col>
      <xdr:colOff>0</xdr:colOff>
      <xdr:row>73</xdr:row>
      <xdr:rowOff>0</xdr:rowOff>
    </xdr:to>
    <xdr:sp macro="" textlink="">
      <xdr:nvSpPr>
        <xdr:cNvPr id="84772" name="Line 83">
          <a:extLst>
            <a:ext uri="{FF2B5EF4-FFF2-40B4-BE49-F238E27FC236}">
              <a16:creationId xmlns:a16="http://schemas.microsoft.com/office/drawing/2014/main" id="{B7E0FCDB-4314-7345-BE6E-6A0308BA3497}"/>
            </a:ext>
          </a:extLst>
        </xdr:cNvPr>
        <xdr:cNvSpPr>
          <a:spLocks noChangeShapeType="1"/>
        </xdr:cNvSpPr>
      </xdr:nvSpPr>
      <xdr:spPr bwMode="auto">
        <a:xfrm rot="10800000">
          <a:off x="7747000" y="11899900"/>
          <a:ext cx="0" cy="3429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12700</xdr:colOff>
      <xdr:row>86</xdr:row>
      <xdr:rowOff>0</xdr:rowOff>
    </xdr:from>
    <xdr:to>
      <xdr:col>11</xdr:col>
      <xdr:colOff>685800</xdr:colOff>
      <xdr:row>90</xdr:row>
      <xdr:rowOff>0</xdr:rowOff>
    </xdr:to>
    <xdr:sp macro="" textlink="">
      <xdr:nvSpPr>
        <xdr:cNvPr id="84773" name="Rectangle 84">
          <a:extLst>
            <a:ext uri="{FF2B5EF4-FFF2-40B4-BE49-F238E27FC236}">
              <a16:creationId xmlns:a16="http://schemas.microsoft.com/office/drawing/2014/main" id="{95DE79E5-0806-0548-B488-A7B4B5EEC24C}"/>
            </a:ext>
          </a:extLst>
        </xdr:cNvPr>
        <xdr:cNvSpPr>
          <a:spLocks noChangeArrowheads="1"/>
        </xdr:cNvSpPr>
      </xdr:nvSpPr>
      <xdr:spPr bwMode="auto">
        <a:xfrm>
          <a:off x="6959600" y="14389100"/>
          <a:ext cx="1473200" cy="660400"/>
        </a:xfrm>
        <a:prstGeom prst="rect">
          <a:avLst/>
        </a:prstGeom>
        <a:solidFill>
          <a:srgbClr val="99CCFF"/>
        </a:solidFill>
        <a:ln w="19050">
          <a:solidFill>
            <a:srgbClr val="000000"/>
          </a:solidFill>
          <a:miter lim="800000"/>
          <a:headEnd/>
          <a:tailEnd/>
        </a:ln>
      </xdr:spPr>
    </xdr:sp>
    <xdr:clientData/>
  </xdr:twoCellAnchor>
  <xdr:twoCellAnchor>
    <xdr:from>
      <xdr:col>10</xdr:col>
      <xdr:colOff>12700</xdr:colOff>
      <xdr:row>92</xdr:row>
      <xdr:rowOff>12700</xdr:rowOff>
    </xdr:from>
    <xdr:to>
      <xdr:col>11</xdr:col>
      <xdr:colOff>685800</xdr:colOff>
      <xdr:row>96</xdr:row>
      <xdr:rowOff>12700</xdr:rowOff>
    </xdr:to>
    <xdr:sp macro="" textlink="">
      <xdr:nvSpPr>
        <xdr:cNvPr id="84774" name="Rectangle 85">
          <a:extLst>
            <a:ext uri="{FF2B5EF4-FFF2-40B4-BE49-F238E27FC236}">
              <a16:creationId xmlns:a16="http://schemas.microsoft.com/office/drawing/2014/main" id="{C0DA0596-5001-6041-93CE-2D126970FBC5}"/>
            </a:ext>
          </a:extLst>
        </xdr:cNvPr>
        <xdr:cNvSpPr>
          <a:spLocks noChangeArrowheads="1"/>
        </xdr:cNvSpPr>
      </xdr:nvSpPr>
      <xdr:spPr bwMode="auto">
        <a:xfrm>
          <a:off x="6959600" y="15392400"/>
          <a:ext cx="1473200" cy="660400"/>
        </a:xfrm>
        <a:prstGeom prst="rect">
          <a:avLst/>
        </a:prstGeom>
        <a:solidFill>
          <a:srgbClr val="99CCFF"/>
        </a:solidFill>
        <a:ln w="19050">
          <a:solidFill>
            <a:srgbClr val="000000"/>
          </a:solidFill>
          <a:miter lim="800000"/>
          <a:headEnd/>
          <a:tailEnd/>
        </a:ln>
      </xdr:spPr>
    </xdr:sp>
    <xdr:clientData/>
  </xdr:twoCellAnchor>
  <xdr:twoCellAnchor>
    <xdr:from>
      <xdr:col>10</xdr:col>
      <xdr:colOff>19050</xdr:colOff>
      <xdr:row>98</xdr:row>
      <xdr:rowOff>19050</xdr:rowOff>
    </xdr:from>
    <xdr:to>
      <xdr:col>11</xdr:col>
      <xdr:colOff>689592</xdr:colOff>
      <xdr:row>102</xdr:row>
      <xdr:rowOff>0</xdr:rowOff>
    </xdr:to>
    <xdr:sp macro="" textlink="">
      <xdr:nvSpPr>
        <xdr:cNvPr id="17494" name="Rectangle 86">
          <a:extLst>
            <a:ext uri="{FF2B5EF4-FFF2-40B4-BE49-F238E27FC236}">
              <a16:creationId xmlns:a16="http://schemas.microsoft.com/office/drawing/2014/main" id="{B2FCEE31-EDA0-DB46-A2B8-6A7696F5C870}"/>
            </a:ext>
          </a:extLst>
        </xdr:cNvPr>
        <xdr:cNvSpPr>
          <a:spLocks noChangeArrowheads="1"/>
        </xdr:cNvSpPr>
      </xdr:nvSpPr>
      <xdr:spPr bwMode="auto">
        <a:xfrm>
          <a:off x="6124575" y="16068675"/>
          <a:ext cx="1285875" cy="628650"/>
        </a:xfrm>
        <a:prstGeom prst="rect">
          <a:avLst/>
        </a:prstGeom>
        <a:solidFill>
          <a:srgbClr val="99CCFF"/>
        </a:solidFill>
        <a:ln w="19050">
          <a:solidFill>
            <a:srgbClr val="000000"/>
          </a:solidFill>
          <a:miter lim="800000"/>
          <a:headEnd/>
          <a:tailEnd/>
        </a:ln>
      </xdr:spPr>
      <xdr:txBody>
        <a:bodyPr vertOverflow="clip" wrap="square" lIns="27432" tIns="22860" rIns="27432" bIns="0" anchor="t" upright="1"/>
        <a:lstStyle/>
        <a:p>
          <a:pPr algn="ctr" rtl="1">
            <a:defRPr sz="1000"/>
          </a:pPr>
          <a:endParaRPr lang="en-US" sz="1000" b="0" i="0" strike="noStrike">
            <a:solidFill>
              <a:srgbClr val="000000"/>
            </a:solidFill>
            <a:latin typeface="Arial"/>
            <a:cs typeface="Arial"/>
          </a:endParaRPr>
        </a:p>
        <a:p>
          <a:pPr algn="ctr" rtl="1">
            <a:defRPr sz="1000"/>
          </a:pPr>
          <a:endParaRPr lang="en-US" sz="1000" b="1" i="0" strike="noStrike">
            <a:solidFill>
              <a:srgbClr val="000000"/>
            </a:solidFill>
            <a:latin typeface="Arial"/>
            <a:cs typeface="Arial"/>
          </a:endParaRPr>
        </a:p>
        <a:p>
          <a:pPr algn="ctr" rtl="1">
            <a:defRPr sz="1000"/>
          </a:pPr>
          <a:endParaRPr lang="en-US" sz="1000" b="1" i="0" strike="noStrike">
            <a:solidFill>
              <a:srgbClr val="000000"/>
            </a:solidFill>
            <a:latin typeface="Arial"/>
            <a:cs typeface="Arial"/>
          </a:endParaRPr>
        </a:p>
        <a:p>
          <a:pPr algn="ctr" rtl="1">
            <a:defRPr sz="1000"/>
          </a:pPr>
          <a:endParaRPr lang="en-US" sz="1000" b="1" i="0" strike="noStrike">
            <a:solidFill>
              <a:srgbClr val="000000"/>
            </a:solidFill>
            <a:latin typeface="Arial"/>
            <a:cs typeface="Arial"/>
          </a:endParaRPr>
        </a:p>
      </xdr:txBody>
    </xdr:sp>
    <xdr:clientData/>
  </xdr:twoCellAnchor>
  <xdr:twoCellAnchor>
    <xdr:from>
      <xdr:col>11</xdr:col>
      <xdr:colOff>0</xdr:colOff>
      <xdr:row>90</xdr:row>
      <xdr:rowOff>12700</xdr:rowOff>
    </xdr:from>
    <xdr:to>
      <xdr:col>11</xdr:col>
      <xdr:colOff>0</xdr:colOff>
      <xdr:row>92</xdr:row>
      <xdr:rowOff>25400</xdr:rowOff>
    </xdr:to>
    <xdr:sp macro="" textlink="">
      <xdr:nvSpPr>
        <xdr:cNvPr id="84776" name="Line 87">
          <a:extLst>
            <a:ext uri="{FF2B5EF4-FFF2-40B4-BE49-F238E27FC236}">
              <a16:creationId xmlns:a16="http://schemas.microsoft.com/office/drawing/2014/main" id="{B4D5C186-BF54-E947-8355-75A0B0EF4911}"/>
            </a:ext>
          </a:extLst>
        </xdr:cNvPr>
        <xdr:cNvSpPr>
          <a:spLocks noChangeShapeType="1"/>
        </xdr:cNvSpPr>
      </xdr:nvSpPr>
      <xdr:spPr bwMode="auto">
        <a:xfrm>
          <a:off x="7747000" y="15062200"/>
          <a:ext cx="0" cy="3429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102</xdr:row>
      <xdr:rowOff>0</xdr:rowOff>
    </xdr:from>
    <xdr:to>
      <xdr:col>11</xdr:col>
      <xdr:colOff>0</xdr:colOff>
      <xdr:row>104</xdr:row>
      <xdr:rowOff>12700</xdr:rowOff>
    </xdr:to>
    <xdr:sp macro="" textlink="">
      <xdr:nvSpPr>
        <xdr:cNvPr id="84777" name="Line 88">
          <a:extLst>
            <a:ext uri="{FF2B5EF4-FFF2-40B4-BE49-F238E27FC236}">
              <a16:creationId xmlns:a16="http://schemas.microsoft.com/office/drawing/2014/main" id="{44038187-A2CE-9E4B-BD71-0FFB210FA696}"/>
            </a:ext>
          </a:extLst>
        </xdr:cNvPr>
        <xdr:cNvSpPr>
          <a:spLocks noChangeShapeType="1"/>
        </xdr:cNvSpPr>
      </xdr:nvSpPr>
      <xdr:spPr bwMode="auto">
        <a:xfrm>
          <a:off x="7747000" y="17030700"/>
          <a:ext cx="0" cy="3429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96</xdr:row>
      <xdr:rowOff>25400</xdr:rowOff>
    </xdr:from>
    <xdr:to>
      <xdr:col>11</xdr:col>
      <xdr:colOff>0</xdr:colOff>
      <xdr:row>98</xdr:row>
      <xdr:rowOff>25400</xdr:rowOff>
    </xdr:to>
    <xdr:sp macro="" textlink="">
      <xdr:nvSpPr>
        <xdr:cNvPr id="84778" name="Line 89">
          <a:extLst>
            <a:ext uri="{FF2B5EF4-FFF2-40B4-BE49-F238E27FC236}">
              <a16:creationId xmlns:a16="http://schemas.microsoft.com/office/drawing/2014/main" id="{157A78E0-5800-D846-B531-AEB4E8B38DFA}"/>
            </a:ext>
          </a:extLst>
        </xdr:cNvPr>
        <xdr:cNvSpPr>
          <a:spLocks noChangeShapeType="1"/>
        </xdr:cNvSpPr>
      </xdr:nvSpPr>
      <xdr:spPr bwMode="auto">
        <a:xfrm>
          <a:off x="7747000" y="16065500"/>
          <a:ext cx="0" cy="3302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327212</xdr:colOff>
      <xdr:row>86</xdr:row>
      <xdr:rowOff>28575</xdr:rowOff>
    </xdr:from>
    <xdr:ext cx="649793" cy="465512"/>
    <xdr:sp macro="" textlink="">
      <xdr:nvSpPr>
        <xdr:cNvPr id="17498" name="Text Box 90">
          <a:extLst>
            <a:ext uri="{FF2B5EF4-FFF2-40B4-BE49-F238E27FC236}">
              <a16:creationId xmlns:a16="http://schemas.microsoft.com/office/drawing/2014/main" id="{F72835B8-B8FE-A645-9115-CCA5934F4FAB}"/>
            </a:ext>
          </a:extLst>
        </xdr:cNvPr>
        <xdr:cNvSpPr txBox="1">
          <a:spLocks noChangeArrowheads="1"/>
        </xdr:cNvSpPr>
      </xdr:nvSpPr>
      <xdr:spPr bwMode="auto">
        <a:xfrm>
          <a:off x="7274112" y="14417675"/>
          <a:ext cx="649793" cy="465512"/>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Data</a:t>
          </a:r>
        </a:p>
        <a:p>
          <a:pPr algn="ctr" rtl="1">
            <a:defRPr sz="1000"/>
          </a:pPr>
          <a:r>
            <a:rPr lang="en-US" sz="1000" b="1" i="0" strike="noStrike">
              <a:solidFill>
                <a:srgbClr val="000000"/>
              </a:solidFill>
              <a:latin typeface="Arial"/>
              <a:cs typeface="Arial"/>
            </a:rPr>
            <a:t>Bandpass</a:t>
          </a:r>
        </a:p>
        <a:p>
          <a:pPr algn="ctr" rtl="1">
            <a:defRPr sz="1000"/>
          </a:pPr>
          <a:r>
            <a:rPr lang="en-US" sz="1000" b="1" i="0" strike="noStrike">
              <a:solidFill>
                <a:srgbClr val="000000"/>
              </a:solidFill>
              <a:latin typeface="Arial"/>
              <a:cs typeface="Arial"/>
            </a:rPr>
            <a:t>Filter</a:t>
          </a:r>
        </a:p>
      </xdr:txBody>
    </xdr:sp>
    <xdr:clientData/>
  </xdr:oneCellAnchor>
  <xdr:oneCellAnchor>
    <xdr:from>
      <xdr:col>10</xdr:col>
      <xdr:colOff>84351</xdr:colOff>
      <xdr:row>93</xdr:row>
      <xdr:rowOff>66675</xdr:rowOff>
    </xdr:from>
    <xdr:ext cx="1188403" cy="170560"/>
    <xdr:sp macro="" textlink="">
      <xdr:nvSpPr>
        <xdr:cNvPr id="17499" name="Text Box 91">
          <a:extLst>
            <a:ext uri="{FF2B5EF4-FFF2-40B4-BE49-F238E27FC236}">
              <a16:creationId xmlns:a16="http://schemas.microsoft.com/office/drawing/2014/main" id="{EE3EA29F-8806-C440-B8C3-FF94F05C46EA}"/>
            </a:ext>
          </a:extLst>
        </xdr:cNvPr>
        <xdr:cNvSpPr txBox="1">
          <a:spLocks noChangeArrowheads="1"/>
        </xdr:cNvSpPr>
      </xdr:nvSpPr>
      <xdr:spPr bwMode="auto">
        <a:xfrm>
          <a:off x="6177176" y="15306675"/>
          <a:ext cx="1141338" cy="170560"/>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Data</a:t>
          </a:r>
          <a:r>
            <a:rPr lang="en-US" sz="1000" b="0" i="0" strike="noStrike">
              <a:solidFill>
                <a:srgbClr val="000000"/>
              </a:solidFill>
              <a:latin typeface="Arial"/>
              <a:cs typeface="Arial"/>
            </a:rPr>
            <a:t> </a:t>
          </a:r>
          <a:r>
            <a:rPr lang="en-US" sz="1000" b="1" i="0" strike="noStrike">
              <a:solidFill>
                <a:srgbClr val="000000"/>
              </a:solidFill>
              <a:latin typeface="Arial"/>
              <a:cs typeface="Arial"/>
            </a:rPr>
            <a:t>Demodulator</a:t>
          </a:r>
        </a:p>
      </xdr:txBody>
    </xdr:sp>
    <xdr:clientData/>
  </xdr:oneCellAnchor>
  <xdr:oneCellAnchor>
    <xdr:from>
      <xdr:col>10</xdr:col>
      <xdr:colOff>79375</xdr:colOff>
      <xdr:row>99</xdr:row>
      <xdr:rowOff>57150</xdr:rowOff>
    </xdr:from>
    <xdr:ext cx="1184130" cy="170560"/>
    <xdr:sp macro="" textlink="">
      <xdr:nvSpPr>
        <xdr:cNvPr id="17500" name="Text Box 92">
          <a:extLst>
            <a:ext uri="{FF2B5EF4-FFF2-40B4-BE49-F238E27FC236}">
              <a16:creationId xmlns:a16="http://schemas.microsoft.com/office/drawing/2014/main" id="{4ACEAA7E-C2F4-1442-9823-9F2DF0AC944D}"/>
            </a:ext>
          </a:extLst>
        </xdr:cNvPr>
        <xdr:cNvSpPr txBox="1">
          <a:spLocks noChangeArrowheads="1"/>
        </xdr:cNvSpPr>
      </xdr:nvSpPr>
      <xdr:spPr bwMode="auto">
        <a:xfrm>
          <a:off x="6172200" y="16268700"/>
          <a:ext cx="1137234"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Data FEC Decoder</a:t>
          </a:r>
        </a:p>
      </xdr:txBody>
    </xdr:sp>
    <xdr:clientData/>
  </xdr:oneCellAnchor>
  <xdr:twoCellAnchor>
    <xdr:from>
      <xdr:col>12</xdr:col>
      <xdr:colOff>0</xdr:colOff>
      <xdr:row>106</xdr:row>
      <xdr:rowOff>88900</xdr:rowOff>
    </xdr:from>
    <xdr:to>
      <xdr:col>13</xdr:col>
      <xdr:colOff>0</xdr:colOff>
      <xdr:row>106</xdr:row>
      <xdr:rowOff>88900</xdr:rowOff>
    </xdr:to>
    <xdr:sp macro="" textlink="">
      <xdr:nvSpPr>
        <xdr:cNvPr id="84782" name="Line 97">
          <a:extLst>
            <a:ext uri="{FF2B5EF4-FFF2-40B4-BE49-F238E27FC236}">
              <a16:creationId xmlns:a16="http://schemas.microsoft.com/office/drawing/2014/main" id="{F6CD013B-B64A-8A44-B056-BF1FBB120393}"/>
            </a:ext>
          </a:extLst>
        </xdr:cNvPr>
        <xdr:cNvSpPr>
          <a:spLocks noChangeShapeType="1"/>
        </xdr:cNvSpPr>
      </xdr:nvSpPr>
      <xdr:spPr bwMode="auto">
        <a:xfrm>
          <a:off x="8483600" y="17792700"/>
          <a:ext cx="787400" cy="0"/>
        </a:xfrm>
        <a:prstGeom prst="line">
          <a:avLst/>
        </a:prstGeom>
        <a:noFill/>
        <a:ln w="9525">
          <a:solidFill>
            <a:srgbClr val="000000"/>
          </a:solidFill>
          <a:prstDash val="lgDashDot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12700</xdr:colOff>
      <xdr:row>108</xdr:row>
      <xdr:rowOff>76200</xdr:rowOff>
    </xdr:from>
    <xdr:to>
      <xdr:col>13</xdr:col>
      <xdr:colOff>12700</xdr:colOff>
      <xdr:row>108</xdr:row>
      <xdr:rowOff>76200</xdr:rowOff>
    </xdr:to>
    <xdr:sp macro="" textlink="">
      <xdr:nvSpPr>
        <xdr:cNvPr id="84783" name="Line 98">
          <a:extLst>
            <a:ext uri="{FF2B5EF4-FFF2-40B4-BE49-F238E27FC236}">
              <a16:creationId xmlns:a16="http://schemas.microsoft.com/office/drawing/2014/main" id="{ED3E5951-148E-5342-9F1D-F2C6EC565A92}"/>
            </a:ext>
          </a:extLst>
        </xdr:cNvPr>
        <xdr:cNvSpPr>
          <a:spLocks noChangeShapeType="1"/>
        </xdr:cNvSpPr>
      </xdr:nvSpPr>
      <xdr:spPr bwMode="auto">
        <a:xfrm>
          <a:off x="8496300" y="18135600"/>
          <a:ext cx="787400" cy="0"/>
        </a:xfrm>
        <a:prstGeom prst="line">
          <a:avLst/>
        </a:prstGeom>
        <a:noFill/>
        <a:ln w="9525">
          <a:solidFill>
            <a:srgbClr val="000000"/>
          </a:solidFill>
          <a:prstDash val="lgDashDot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292100</xdr:colOff>
      <xdr:row>45</xdr:row>
      <xdr:rowOff>152400</xdr:rowOff>
    </xdr:from>
    <xdr:to>
      <xdr:col>9</xdr:col>
      <xdr:colOff>711200</xdr:colOff>
      <xdr:row>102</xdr:row>
      <xdr:rowOff>38100</xdr:rowOff>
    </xdr:to>
    <xdr:sp macro="" textlink="">
      <xdr:nvSpPr>
        <xdr:cNvPr id="84784" name="AutoShape 99">
          <a:extLst>
            <a:ext uri="{FF2B5EF4-FFF2-40B4-BE49-F238E27FC236}">
              <a16:creationId xmlns:a16="http://schemas.microsoft.com/office/drawing/2014/main" id="{C738A7BF-1BBF-4444-A898-5DEA0C82F306}"/>
            </a:ext>
          </a:extLst>
        </xdr:cNvPr>
        <xdr:cNvSpPr>
          <a:spLocks/>
        </xdr:cNvSpPr>
      </xdr:nvSpPr>
      <xdr:spPr bwMode="auto">
        <a:xfrm>
          <a:off x="6515100" y="7772400"/>
          <a:ext cx="419100" cy="9296400"/>
        </a:xfrm>
        <a:prstGeom prst="leftBrace">
          <a:avLst>
            <a:gd name="adj1" fmla="val 184848"/>
            <a:gd name="adj2" fmla="val 50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41275</xdr:colOff>
      <xdr:row>73</xdr:row>
      <xdr:rowOff>57150</xdr:rowOff>
    </xdr:from>
    <xdr:ext cx="505032" cy="318036"/>
    <xdr:sp macro="" textlink="">
      <xdr:nvSpPr>
        <xdr:cNvPr id="17508" name="Text Box 100">
          <a:extLst>
            <a:ext uri="{FF2B5EF4-FFF2-40B4-BE49-F238E27FC236}">
              <a16:creationId xmlns:a16="http://schemas.microsoft.com/office/drawing/2014/main" id="{C148EA7F-68BC-3F42-A890-A441FCFBA429}"/>
            </a:ext>
          </a:extLst>
        </xdr:cNvPr>
        <xdr:cNvSpPr txBox="1">
          <a:spLocks noChangeArrowheads="1"/>
        </xdr:cNvSpPr>
      </xdr:nvSpPr>
      <xdr:spPr bwMode="auto">
        <a:xfrm>
          <a:off x="5238750" y="12058650"/>
          <a:ext cx="481542" cy="318036"/>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Ground</a:t>
          </a:r>
          <a:endParaRPr lang="en-US" sz="1000" b="0" i="0" strike="noStrike">
            <a:solidFill>
              <a:srgbClr val="000000"/>
            </a:solidFill>
            <a:latin typeface="Arial"/>
            <a:cs typeface="Arial"/>
          </a:endParaRPr>
        </a:p>
        <a:p>
          <a:pPr algn="l" rtl="1">
            <a:defRPr sz="1000"/>
          </a:pPr>
          <a:r>
            <a:rPr lang="en-US" sz="1000" b="1" i="0" strike="noStrike">
              <a:solidFill>
                <a:srgbClr val="000000"/>
              </a:solidFill>
              <a:latin typeface="Arial"/>
              <a:cs typeface="Arial"/>
            </a:rPr>
            <a:t>Station</a:t>
          </a:r>
        </a:p>
      </xdr:txBody>
    </xdr:sp>
    <xdr:clientData/>
  </xdr:oneCellAnchor>
  <xdr:twoCellAnchor>
    <xdr:from>
      <xdr:col>9</xdr:col>
      <xdr:colOff>393700</xdr:colOff>
      <xdr:row>6</xdr:row>
      <xdr:rowOff>0</xdr:rowOff>
    </xdr:from>
    <xdr:to>
      <xdr:col>9</xdr:col>
      <xdr:colOff>660400</xdr:colOff>
      <xdr:row>36</xdr:row>
      <xdr:rowOff>38100</xdr:rowOff>
    </xdr:to>
    <xdr:sp macro="" textlink="">
      <xdr:nvSpPr>
        <xdr:cNvPr id="84786" name="AutoShape 101">
          <a:extLst>
            <a:ext uri="{FF2B5EF4-FFF2-40B4-BE49-F238E27FC236}">
              <a16:creationId xmlns:a16="http://schemas.microsoft.com/office/drawing/2014/main" id="{0E52C361-0C7D-734B-BAC1-DEC3CB2DC0DE}"/>
            </a:ext>
          </a:extLst>
        </xdr:cNvPr>
        <xdr:cNvSpPr>
          <a:spLocks/>
        </xdr:cNvSpPr>
      </xdr:nvSpPr>
      <xdr:spPr bwMode="auto">
        <a:xfrm>
          <a:off x="6616700" y="1130300"/>
          <a:ext cx="266700" cy="5041900"/>
        </a:xfrm>
        <a:prstGeom prst="leftBrace">
          <a:avLst>
            <a:gd name="adj1" fmla="val 1575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9</xdr:col>
      <xdr:colOff>88900</xdr:colOff>
      <xdr:row>20</xdr:row>
      <xdr:rowOff>104775</xdr:rowOff>
    </xdr:from>
    <xdr:ext cx="258048" cy="170560"/>
    <xdr:sp macro="" textlink="">
      <xdr:nvSpPr>
        <xdr:cNvPr id="17510" name="Text Box 102">
          <a:extLst>
            <a:ext uri="{FF2B5EF4-FFF2-40B4-BE49-F238E27FC236}">
              <a16:creationId xmlns:a16="http://schemas.microsoft.com/office/drawing/2014/main" id="{439736E7-5B97-2947-9773-FFDCF529047A}"/>
            </a:ext>
          </a:extLst>
        </xdr:cNvPr>
        <xdr:cNvSpPr txBox="1">
          <a:spLocks noChangeArrowheads="1"/>
        </xdr:cNvSpPr>
      </xdr:nvSpPr>
      <xdr:spPr bwMode="auto">
        <a:xfrm>
          <a:off x="5543550" y="3524250"/>
          <a:ext cx="232243"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S/C</a:t>
          </a:r>
        </a:p>
      </xdr:txBody>
    </xdr:sp>
    <xdr:clientData/>
  </xdr:oneCellAnchor>
  <xdr:oneCellAnchor>
    <xdr:from>
      <xdr:col>9</xdr:col>
      <xdr:colOff>360869</xdr:colOff>
      <xdr:row>39</xdr:row>
      <xdr:rowOff>95250</xdr:rowOff>
    </xdr:from>
    <xdr:ext cx="450123" cy="318036"/>
    <xdr:sp macro="" textlink="">
      <xdr:nvSpPr>
        <xdr:cNvPr id="17511" name="Text Box 103">
          <a:extLst>
            <a:ext uri="{FF2B5EF4-FFF2-40B4-BE49-F238E27FC236}">
              <a16:creationId xmlns:a16="http://schemas.microsoft.com/office/drawing/2014/main" id="{1F166E81-3211-B743-8B34-809F0B043FFE}"/>
            </a:ext>
          </a:extLst>
        </xdr:cNvPr>
        <xdr:cNvSpPr txBox="1">
          <a:spLocks noChangeArrowheads="1"/>
        </xdr:cNvSpPr>
      </xdr:nvSpPr>
      <xdr:spPr bwMode="auto">
        <a:xfrm>
          <a:off x="6583869" y="6724650"/>
          <a:ext cx="450123" cy="318036"/>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1" i="0" strike="noStrike">
              <a:solidFill>
                <a:srgbClr val="000000"/>
              </a:solidFill>
              <a:latin typeface="Arial"/>
              <a:cs typeface="Arial"/>
            </a:rPr>
            <a:t>RADIO</a:t>
          </a:r>
        </a:p>
        <a:p>
          <a:pPr algn="ctr" rtl="1">
            <a:defRPr sz="1000"/>
          </a:pPr>
          <a:r>
            <a:rPr lang="en-US" sz="1000" b="1" i="0" strike="noStrike">
              <a:solidFill>
                <a:srgbClr val="000000"/>
              </a:solidFill>
              <a:latin typeface="Arial"/>
              <a:cs typeface="Arial"/>
            </a:rPr>
            <a:t>LINK</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5</xdr:col>
      <xdr:colOff>0</xdr:colOff>
      <xdr:row>96</xdr:row>
      <xdr:rowOff>0</xdr:rowOff>
    </xdr:from>
    <xdr:to>
      <xdr:col>19</xdr:col>
      <xdr:colOff>660400</xdr:colOff>
      <xdr:row>133</xdr:row>
      <xdr:rowOff>50800</xdr:rowOff>
    </xdr:to>
    <xdr:graphicFrame macro="">
      <xdr:nvGraphicFramePr>
        <xdr:cNvPr id="11533" name="Chart 1">
          <a:extLst>
            <a:ext uri="{FF2B5EF4-FFF2-40B4-BE49-F238E27FC236}">
              <a16:creationId xmlns:a16="http://schemas.microsoft.com/office/drawing/2014/main" id="{E3653B50-BC84-CC49-89D4-3EA3294A2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12700</xdr:colOff>
      <xdr:row>48</xdr:row>
      <xdr:rowOff>12700</xdr:rowOff>
    </xdr:from>
    <xdr:to>
      <xdr:col>21</xdr:col>
      <xdr:colOff>12700</xdr:colOff>
      <xdr:row>80</xdr:row>
      <xdr:rowOff>0</xdr:rowOff>
    </xdr:to>
    <xdr:pic>
      <xdr:nvPicPr>
        <xdr:cNvPr id="11534" name="Picture 8">
          <a:extLst>
            <a:ext uri="{FF2B5EF4-FFF2-40B4-BE49-F238E27FC236}">
              <a16:creationId xmlns:a16="http://schemas.microsoft.com/office/drawing/2014/main" id="{BC2B86D4-5A98-B04D-905E-BF261E3653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51700" y="8013700"/>
          <a:ext cx="10769600" cy="527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5</xdr:col>
      <xdr:colOff>12700</xdr:colOff>
      <xdr:row>6</xdr:row>
      <xdr:rowOff>152400</xdr:rowOff>
    </xdr:from>
    <xdr:to>
      <xdr:col>18</xdr:col>
      <xdr:colOff>381000</xdr:colOff>
      <xdr:row>34</xdr:row>
      <xdr:rowOff>101600</xdr:rowOff>
    </xdr:to>
    <xdr:pic>
      <xdr:nvPicPr>
        <xdr:cNvPr id="11535" name="Picture 9">
          <a:extLst>
            <a:ext uri="{FF2B5EF4-FFF2-40B4-BE49-F238E27FC236}">
              <a16:creationId xmlns:a16="http://schemas.microsoft.com/office/drawing/2014/main" id="{1FEA2A5B-BB9B-6247-9AE8-77EA123502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51700" y="1219200"/>
          <a:ext cx="9118600" cy="457200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0</xdr:colOff>
      <xdr:row>173</xdr:row>
      <xdr:rowOff>0</xdr:rowOff>
    </xdr:from>
    <xdr:to>
      <xdr:col>12</xdr:col>
      <xdr:colOff>279400</xdr:colOff>
      <xdr:row>199</xdr:row>
      <xdr:rowOff>139700</xdr:rowOff>
    </xdr:to>
    <xdr:pic>
      <xdr:nvPicPr>
        <xdr:cNvPr id="11536" name="Picture 10">
          <a:extLst>
            <a:ext uri="{FF2B5EF4-FFF2-40B4-BE49-F238E27FC236}">
              <a16:creationId xmlns:a16="http://schemas.microsoft.com/office/drawing/2014/main" id="{B476EDF7-3E18-3E41-86F7-C1B9D64E885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39000" y="28829000"/>
          <a:ext cx="4991100" cy="443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584200</xdr:colOff>
      <xdr:row>178</xdr:row>
      <xdr:rowOff>114300</xdr:rowOff>
    </xdr:from>
    <xdr:ext cx="369268" cy="200119"/>
    <xdr:sp macro="" textlink="">
      <xdr:nvSpPr>
        <xdr:cNvPr id="11275" name="Text Box 11">
          <a:extLst>
            <a:ext uri="{FF2B5EF4-FFF2-40B4-BE49-F238E27FC236}">
              <a16:creationId xmlns:a16="http://schemas.microsoft.com/office/drawing/2014/main" id="{68D83248-81F3-3746-B9E8-5AD9557A21BF}"/>
            </a:ext>
          </a:extLst>
        </xdr:cNvPr>
        <xdr:cNvSpPr txBox="1">
          <a:spLocks noChangeArrowheads="1"/>
        </xdr:cNvSpPr>
      </xdr:nvSpPr>
      <xdr:spPr bwMode="auto">
        <a:xfrm>
          <a:off x="9855200" y="30509633"/>
          <a:ext cx="369268" cy="200119"/>
        </a:xfrm>
        <a:prstGeom prst="rect">
          <a:avLst/>
        </a:prstGeom>
        <a:solidFill>
          <a:srgbClr val="FFFFFF"/>
        </a:solidFill>
        <a:ln w="9525">
          <a:noFill/>
          <a:miter lim="800000"/>
          <a:headEnd/>
          <a:tailEnd/>
        </a:ln>
      </xdr:spPr>
      <xdr:txBody>
        <a:bodyPr wrap="none" lIns="18288" tIns="22860" rIns="0" bIns="0" anchor="t" upright="1">
          <a:spAutoFit/>
        </a:bodyPr>
        <a:lstStyle/>
        <a:p>
          <a:pPr algn="l" rtl="1">
            <a:defRPr sz="1000"/>
          </a:pPr>
          <a:r>
            <a:rPr lang="en-US" sz="1200" b="0" i="0" strike="noStrike">
              <a:solidFill>
                <a:srgbClr val="000000"/>
              </a:solidFill>
              <a:latin typeface="Arial"/>
              <a:cs typeface="Arial"/>
            </a:rPr>
            <a:t>0 dBi</a:t>
          </a:r>
        </a:p>
      </xdr:txBody>
    </xdr:sp>
    <xdr:clientData/>
  </xdr:oneCellAnchor>
  <xdr:twoCellAnchor>
    <xdr:from>
      <xdr:col>5</xdr:col>
      <xdr:colOff>12700</xdr:colOff>
      <xdr:row>213</xdr:row>
      <xdr:rowOff>12700</xdr:rowOff>
    </xdr:from>
    <xdr:to>
      <xdr:col>16</xdr:col>
      <xdr:colOff>342900</xdr:colOff>
      <xdr:row>248</xdr:row>
      <xdr:rowOff>25400</xdr:rowOff>
    </xdr:to>
    <xdr:graphicFrame macro="">
      <xdr:nvGraphicFramePr>
        <xdr:cNvPr id="11538" name="Chart 13">
          <a:extLst>
            <a:ext uri="{FF2B5EF4-FFF2-40B4-BE49-F238E27FC236}">
              <a16:creationId xmlns:a16="http://schemas.microsoft.com/office/drawing/2014/main" id="{0B5F678B-6E9C-144A-A574-0DC4EAB7C5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469900</xdr:colOff>
      <xdr:row>225</xdr:row>
      <xdr:rowOff>139700</xdr:rowOff>
    </xdr:from>
    <xdr:to>
      <xdr:col>9</xdr:col>
      <xdr:colOff>622300</xdr:colOff>
      <xdr:row>233</xdr:row>
      <xdr:rowOff>76200</xdr:rowOff>
    </xdr:to>
    <xdr:sp macro="" textlink="">
      <xdr:nvSpPr>
        <xdr:cNvPr id="11539" name="Line 14">
          <a:extLst>
            <a:ext uri="{FF2B5EF4-FFF2-40B4-BE49-F238E27FC236}">
              <a16:creationId xmlns:a16="http://schemas.microsoft.com/office/drawing/2014/main" id="{D102F60D-7D8C-A243-B41C-4B3176FB0925}"/>
            </a:ext>
          </a:extLst>
        </xdr:cNvPr>
        <xdr:cNvSpPr>
          <a:spLocks noChangeShapeType="1"/>
        </xdr:cNvSpPr>
      </xdr:nvSpPr>
      <xdr:spPr bwMode="auto">
        <a:xfrm flipH="1" flipV="1">
          <a:off x="9055100" y="37566600"/>
          <a:ext cx="1498600" cy="1257300"/>
        </a:xfrm>
        <a:prstGeom prst="line">
          <a:avLst/>
        </a:prstGeom>
        <a:noFill/>
        <a:ln w="19050">
          <a:solidFill>
            <a:srgbClr val="FF00FF"/>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622300</xdr:colOff>
      <xdr:row>225</xdr:row>
      <xdr:rowOff>139700</xdr:rowOff>
    </xdr:from>
    <xdr:to>
      <xdr:col>12</xdr:col>
      <xdr:colOff>101600</xdr:colOff>
      <xdr:row>233</xdr:row>
      <xdr:rowOff>76200</xdr:rowOff>
    </xdr:to>
    <xdr:sp macro="" textlink="">
      <xdr:nvSpPr>
        <xdr:cNvPr id="11540" name="Line 15">
          <a:extLst>
            <a:ext uri="{FF2B5EF4-FFF2-40B4-BE49-F238E27FC236}">
              <a16:creationId xmlns:a16="http://schemas.microsoft.com/office/drawing/2014/main" id="{1E1BA730-BFF9-434F-B88A-D209B33C6E44}"/>
            </a:ext>
          </a:extLst>
        </xdr:cNvPr>
        <xdr:cNvSpPr>
          <a:spLocks noChangeShapeType="1"/>
        </xdr:cNvSpPr>
      </xdr:nvSpPr>
      <xdr:spPr bwMode="auto">
        <a:xfrm flipV="1">
          <a:off x="10553700" y="37566600"/>
          <a:ext cx="1498600" cy="1257300"/>
        </a:xfrm>
        <a:prstGeom prst="line">
          <a:avLst/>
        </a:prstGeom>
        <a:noFill/>
        <a:ln w="19050">
          <a:solidFill>
            <a:srgbClr val="FF00FF"/>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183</xdr:row>
      <xdr:rowOff>139700</xdr:rowOff>
    </xdr:from>
    <xdr:to>
      <xdr:col>8</xdr:col>
      <xdr:colOff>469900</xdr:colOff>
      <xdr:row>186</xdr:row>
      <xdr:rowOff>152400</xdr:rowOff>
    </xdr:to>
    <xdr:sp macro="" textlink="">
      <xdr:nvSpPr>
        <xdr:cNvPr id="11541" name="Line 16">
          <a:extLst>
            <a:ext uri="{FF2B5EF4-FFF2-40B4-BE49-F238E27FC236}">
              <a16:creationId xmlns:a16="http://schemas.microsoft.com/office/drawing/2014/main" id="{7F111A67-E66E-E641-9DE2-D5B6D2C86FC4}"/>
            </a:ext>
          </a:extLst>
        </xdr:cNvPr>
        <xdr:cNvSpPr>
          <a:spLocks noChangeShapeType="1"/>
        </xdr:cNvSpPr>
      </xdr:nvSpPr>
      <xdr:spPr bwMode="auto">
        <a:xfrm flipH="1" flipV="1">
          <a:off x="7429500" y="30619700"/>
          <a:ext cx="2298700" cy="508000"/>
        </a:xfrm>
        <a:prstGeom prst="line">
          <a:avLst/>
        </a:prstGeom>
        <a:noFill/>
        <a:ln w="19050">
          <a:solidFill>
            <a:srgbClr val="FF00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184</xdr:row>
      <xdr:rowOff>25400</xdr:rowOff>
    </xdr:from>
    <xdr:to>
      <xdr:col>12</xdr:col>
      <xdr:colOff>88900</xdr:colOff>
      <xdr:row>186</xdr:row>
      <xdr:rowOff>139700</xdr:rowOff>
    </xdr:to>
    <xdr:sp macro="" textlink="">
      <xdr:nvSpPr>
        <xdr:cNvPr id="11542" name="Line 17">
          <a:extLst>
            <a:ext uri="{FF2B5EF4-FFF2-40B4-BE49-F238E27FC236}">
              <a16:creationId xmlns:a16="http://schemas.microsoft.com/office/drawing/2014/main" id="{4F3A2846-7739-5144-8188-8F2CE3D27FF9}"/>
            </a:ext>
          </a:extLst>
        </xdr:cNvPr>
        <xdr:cNvSpPr>
          <a:spLocks noChangeShapeType="1"/>
        </xdr:cNvSpPr>
      </xdr:nvSpPr>
      <xdr:spPr bwMode="auto">
        <a:xfrm flipV="1">
          <a:off x="9728200" y="30670500"/>
          <a:ext cx="2311400" cy="444500"/>
        </a:xfrm>
        <a:prstGeom prst="line">
          <a:avLst/>
        </a:prstGeom>
        <a:noFill/>
        <a:ln w="19050">
          <a:solidFill>
            <a:srgbClr val="FF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431800</xdr:colOff>
      <xdr:row>179</xdr:row>
      <xdr:rowOff>63500</xdr:rowOff>
    </xdr:from>
    <xdr:to>
      <xdr:col>10</xdr:col>
      <xdr:colOff>520700</xdr:colOff>
      <xdr:row>194</xdr:row>
      <xdr:rowOff>114300</xdr:rowOff>
    </xdr:to>
    <xdr:sp macro="" textlink="">
      <xdr:nvSpPr>
        <xdr:cNvPr id="11543" name="Oval 18">
          <a:extLst>
            <a:ext uri="{FF2B5EF4-FFF2-40B4-BE49-F238E27FC236}">
              <a16:creationId xmlns:a16="http://schemas.microsoft.com/office/drawing/2014/main" id="{C5ED08C4-5AE1-1E47-B794-509F70B162E4}"/>
            </a:ext>
          </a:extLst>
        </xdr:cNvPr>
        <xdr:cNvSpPr>
          <a:spLocks noChangeArrowheads="1"/>
        </xdr:cNvSpPr>
      </xdr:nvSpPr>
      <xdr:spPr bwMode="auto">
        <a:xfrm>
          <a:off x="8343900" y="29883100"/>
          <a:ext cx="2781300" cy="2527300"/>
        </a:xfrm>
        <a:prstGeom prst="ellipse">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457200</xdr:colOff>
      <xdr:row>224</xdr:row>
      <xdr:rowOff>101600</xdr:rowOff>
    </xdr:from>
    <xdr:to>
      <xdr:col>12</xdr:col>
      <xdr:colOff>152400</xdr:colOff>
      <xdr:row>242</xdr:row>
      <xdr:rowOff>38100</xdr:rowOff>
    </xdr:to>
    <xdr:sp macro="" textlink="">
      <xdr:nvSpPr>
        <xdr:cNvPr id="11544" name="Oval 19">
          <a:extLst>
            <a:ext uri="{FF2B5EF4-FFF2-40B4-BE49-F238E27FC236}">
              <a16:creationId xmlns:a16="http://schemas.microsoft.com/office/drawing/2014/main" id="{05F88955-327C-8F4C-AA2D-7FA50F00A629}"/>
            </a:ext>
          </a:extLst>
        </xdr:cNvPr>
        <xdr:cNvSpPr>
          <a:spLocks noChangeArrowheads="1"/>
        </xdr:cNvSpPr>
      </xdr:nvSpPr>
      <xdr:spPr bwMode="auto">
        <a:xfrm>
          <a:off x="9042400" y="37363400"/>
          <a:ext cx="3060700" cy="2921000"/>
        </a:xfrm>
        <a:prstGeom prst="ellipse">
          <a:avLst/>
        </a:prstGeom>
        <a:noFill/>
        <a:ln w="19050">
          <a:solidFill>
            <a:srgbClr val="00FF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9</xdr:col>
      <xdr:colOff>396875</xdr:colOff>
      <xdr:row>241</xdr:row>
      <xdr:rowOff>104775</xdr:rowOff>
    </xdr:from>
    <xdr:ext cx="332015" cy="170560"/>
    <xdr:sp macro="" textlink="">
      <xdr:nvSpPr>
        <xdr:cNvPr id="11284" name="Text Box 20">
          <a:extLst>
            <a:ext uri="{FF2B5EF4-FFF2-40B4-BE49-F238E27FC236}">
              <a16:creationId xmlns:a16="http://schemas.microsoft.com/office/drawing/2014/main" id="{275EC8A6-A88E-0643-8A12-057233652BB7}"/>
            </a:ext>
          </a:extLst>
        </xdr:cNvPr>
        <xdr:cNvSpPr txBox="1">
          <a:spLocks noChangeArrowheads="1"/>
        </xdr:cNvSpPr>
      </xdr:nvSpPr>
      <xdr:spPr bwMode="auto">
        <a:xfrm>
          <a:off x="10345208" y="41196331"/>
          <a:ext cx="332015" cy="170560"/>
        </a:xfrm>
        <a:prstGeom prst="rect">
          <a:avLst/>
        </a:prstGeom>
        <a:solidFill>
          <a:srgbClr val="C0C0C0"/>
        </a:solid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0 dBi</a:t>
          </a: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11</xdr:col>
      <xdr:colOff>647700</xdr:colOff>
      <xdr:row>19</xdr:row>
      <xdr:rowOff>88900</xdr:rowOff>
    </xdr:from>
    <xdr:to>
      <xdr:col>12</xdr:col>
      <xdr:colOff>50800</xdr:colOff>
      <xdr:row>20</xdr:row>
      <xdr:rowOff>127000</xdr:rowOff>
    </xdr:to>
    <xdr:sp macro="" textlink="">
      <xdr:nvSpPr>
        <xdr:cNvPr id="7294" name="Text Box 2">
          <a:extLst>
            <a:ext uri="{FF2B5EF4-FFF2-40B4-BE49-F238E27FC236}">
              <a16:creationId xmlns:a16="http://schemas.microsoft.com/office/drawing/2014/main" id="{533E6F6B-42E2-6140-B25D-19E16EB067FB}"/>
            </a:ext>
          </a:extLst>
        </xdr:cNvPr>
        <xdr:cNvSpPr txBox="1">
          <a:spLocks noChangeArrowheads="1"/>
        </xdr:cNvSpPr>
      </xdr:nvSpPr>
      <xdr:spPr bwMode="auto">
        <a:xfrm>
          <a:off x="10121900" y="350520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12700</xdr:colOff>
      <xdr:row>14</xdr:row>
      <xdr:rowOff>114300</xdr:rowOff>
    </xdr:from>
    <xdr:to>
      <xdr:col>12</xdr:col>
      <xdr:colOff>88900</xdr:colOff>
      <xdr:row>15</xdr:row>
      <xdr:rowOff>152400</xdr:rowOff>
    </xdr:to>
    <xdr:sp macro="" textlink="">
      <xdr:nvSpPr>
        <xdr:cNvPr id="7295" name="Text Box 3">
          <a:extLst>
            <a:ext uri="{FF2B5EF4-FFF2-40B4-BE49-F238E27FC236}">
              <a16:creationId xmlns:a16="http://schemas.microsoft.com/office/drawing/2014/main" id="{17DCA673-034C-9045-9FD7-51016A3EF193}"/>
            </a:ext>
          </a:extLst>
        </xdr:cNvPr>
        <xdr:cNvSpPr txBox="1">
          <a:spLocks noChangeArrowheads="1"/>
        </xdr:cNvSpPr>
      </xdr:nvSpPr>
      <xdr:spPr bwMode="auto">
        <a:xfrm>
          <a:off x="10160000" y="270510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368300</xdr:colOff>
      <xdr:row>9</xdr:row>
      <xdr:rowOff>0</xdr:rowOff>
    </xdr:from>
    <xdr:to>
      <xdr:col>1</xdr:col>
      <xdr:colOff>368300</xdr:colOff>
      <xdr:row>10</xdr:row>
      <xdr:rowOff>12700</xdr:rowOff>
    </xdr:to>
    <xdr:sp macro="" textlink="">
      <xdr:nvSpPr>
        <xdr:cNvPr id="7296" name="Line 4">
          <a:extLst>
            <a:ext uri="{FF2B5EF4-FFF2-40B4-BE49-F238E27FC236}">
              <a16:creationId xmlns:a16="http://schemas.microsoft.com/office/drawing/2014/main" id="{D8D53469-81B7-094F-A9FD-80F3D8BEF63F}"/>
            </a:ext>
          </a:extLst>
        </xdr:cNvPr>
        <xdr:cNvSpPr>
          <a:spLocks noChangeShapeType="1"/>
        </xdr:cNvSpPr>
      </xdr:nvSpPr>
      <xdr:spPr bwMode="auto">
        <a:xfrm>
          <a:off x="1676400" y="175260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368300</xdr:colOff>
      <xdr:row>9</xdr:row>
      <xdr:rowOff>0</xdr:rowOff>
    </xdr:from>
    <xdr:to>
      <xdr:col>2</xdr:col>
      <xdr:colOff>368300</xdr:colOff>
      <xdr:row>10</xdr:row>
      <xdr:rowOff>12700</xdr:rowOff>
    </xdr:to>
    <xdr:sp macro="" textlink="">
      <xdr:nvSpPr>
        <xdr:cNvPr id="7297" name="Line 5">
          <a:extLst>
            <a:ext uri="{FF2B5EF4-FFF2-40B4-BE49-F238E27FC236}">
              <a16:creationId xmlns:a16="http://schemas.microsoft.com/office/drawing/2014/main" id="{ABA1CC58-2A78-1F49-9202-9A0A2894A10A}"/>
            </a:ext>
          </a:extLst>
        </xdr:cNvPr>
        <xdr:cNvSpPr>
          <a:spLocks noChangeShapeType="1"/>
        </xdr:cNvSpPr>
      </xdr:nvSpPr>
      <xdr:spPr bwMode="auto">
        <a:xfrm>
          <a:off x="2349500" y="175260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406400</xdr:colOff>
      <xdr:row>9</xdr:row>
      <xdr:rowOff>0</xdr:rowOff>
    </xdr:from>
    <xdr:to>
      <xdr:col>3</xdr:col>
      <xdr:colOff>406400</xdr:colOff>
      <xdr:row>10</xdr:row>
      <xdr:rowOff>12700</xdr:rowOff>
    </xdr:to>
    <xdr:sp macro="" textlink="">
      <xdr:nvSpPr>
        <xdr:cNvPr id="7298" name="Line 6">
          <a:extLst>
            <a:ext uri="{FF2B5EF4-FFF2-40B4-BE49-F238E27FC236}">
              <a16:creationId xmlns:a16="http://schemas.microsoft.com/office/drawing/2014/main" id="{39D8F6C1-04A1-6D44-8EFF-2330D57BB5C6}"/>
            </a:ext>
          </a:extLst>
        </xdr:cNvPr>
        <xdr:cNvSpPr>
          <a:spLocks noChangeShapeType="1"/>
        </xdr:cNvSpPr>
      </xdr:nvSpPr>
      <xdr:spPr bwMode="auto">
        <a:xfrm>
          <a:off x="3060700" y="175260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571500</xdr:colOff>
      <xdr:row>9</xdr:row>
      <xdr:rowOff>0</xdr:rowOff>
    </xdr:from>
    <xdr:to>
      <xdr:col>4</xdr:col>
      <xdr:colOff>571500</xdr:colOff>
      <xdr:row>10</xdr:row>
      <xdr:rowOff>12700</xdr:rowOff>
    </xdr:to>
    <xdr:sp macro="" textlink="">
      <xdr:nvSpPr>
        <xdr:cNvPr id="7299" name="Line 7">
          <a:extLst>
            <a:ext uri="{FF2B5EF4-FFF2-40B4-BE49-F238E27FC236}">
              <a16:creationId xmlns:a16="http://schemas.microsoft.com/office/drawing/2014/main" id="{E308EB78-F6E7-8E44-89B3-74676B5AAD26}"/>
            </a:ext>
          </a:extLst>
        </xdr:cNvPr>
        <xdr:cNvSpPr>
          <a:spLocks noChangeShapeType="1"/>
        </xdr:cNvSpPr>
      </xdr:nvSpPr>
      <xdr:spPr bwMode="auto">
        <a:xfrm>
          <a:off x="4051300" y="175260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215900</xdr:colOff>
      <xdr:row>30</xdr:row>
      <xdr:rowOff>0</xdr:rowOff>
    </xdr:to>
    <xdr:graphicFrame macro="">
      <xdr:nvGraphicFramePr>
        <xdr:cNvPr id="9277" name="Chart 1">
          <a:extLst>
            <a:ext uri="{FF2B5EF4-FFF2-40B4-BE49-F238E27FC236}">
              <a16:creationId xmlns:a16="http://schemas.microsoft.com/office/drawing/2014/main" id="{4E902A40-31CA-7D46-9367-71ABA6223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482600</xdr:colOff>
      <xdr:row>8</xdr:row>
      <xdr:rowOff>127000</xdr:rowOff>
    </xdr:from>
    <xdr:to>
      <xdr:col>14</xdr:col>
      <xdr:colOff>482600</xdr:colOff>
      <xdr:row>8</xdr:row>
      <xdr:rowOff>127000</xdr:rowOff>
    </xdr:to>
    <xdr:sp macro="" textlink="">
      <xdr:nvSpPr>
        <xdr:cNvPr id="9278" name="Line 2">
          <a:extLst>
            <a:ext uri="{FF2B5EF4-FFF2-40B4-BE49-F238E27FC236}">
              <a16:creationId xmlns:a16="http://schemas.microsoft.com/office/drawing/2014/main" id="{BE0CA96E-20FF-C948-9370-6BFFFDED954C}"/>
            </a:ext>
          </a:extLst>
        </xdr:cNvPr>
        <xdr:cNvSpPr>
          <a:spLocks noChangeShapeType="1"/>
        </xdr:cNvSpPr>
      </xdr:nvSpPr>
      <xdr:spPr bwMode="auto">
        <a:xfrm>
          <a:off x="1155700" y="1447800"/>
          <a:ext cx="8750300"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644525</xdr:colOff>
      <xdr:row>8</xdr:row>
      <xdr:rowOff>19050</xdr:rowOff>
    </xdr:from>
    <xdr:ext cx="289311" cy="170560"/>
    <xdr:sp macro="" textlink="">
      <xdr:nvSpPr>
        <xdr:cNvPr id="9219" name="Text Box 3">
          <a:extLst>
            <a:ext uri="{FF2B5EF4-FFF2-40B4-BE49-F238E27FC236}">
              <a16:creationId xmlns:a16="http://schemas.microsoft.com/office/drawing/2014/main" id="{9B051220-7ED6-2B4C-B05A-24C302B6B6ED}"/>
            </a:ext>
          </a:extLst>
        </xdr:cNvPr>
        <xdr:cNvSpPr txBox="1">
          <a:spLocks noChangeArrowheads="1"/>
        </xdr:cNvSpPr>
      </xdr:nvSpPr>
      <xdr:spPr bwMode="auto">
        <a:xfrm>
          <a:off x="5356225" y="1339850"/>
          <a:ext cx="289311" cy="170560"/>
        </a:xfrm>
        <a:prstGeom prst="rect">
          <a:avLst/>
        </a:prstGeom>
        <a:solidFill>
          <a:srgbClr val="FFCC99"/>
        </a:solid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-3dB</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2</xdr:col>
      <xdr:colOff>660400</xdr:colOff>
      <xdr:row>17</xdr:row>
      <xdr:rowOff>12700</xdr:rowOff>
    </xdr:from>
    <xdr:to>
      <xdr:col>5</xdr:col>
      <xdr:colOff>12700</xdr:colOff>
      <xdr:row>21</xdr:row>
      <xdr:rowOff>0</xdr:rowOff>
    </xdr:to>
    <xdr:sp macro="" textlink="">
      <xdr:nvSpPr>
        <xdr:cNvPr id="126058" name="Rectangle 2">
          <a:extLst>
            <a:ext uri="{FF2B5EF4-FFF2-40B4-BE49-F238E27FC236}">
              <a16:creationId xmlns:a16="http://schemas.microsoft.com/office/drawing/2014/main" id="{EAF9CF4A-3D82-3F40-8934-B851183552FC}"/>
            </a:ext>
          </a:extLst>
        </xdr:cNvPr>
        <xdr:cNvSpPr>
          <a:spLocks noChangeArrowheads="1"/>
        </xdr:cNvSpPr>
      </xdr:nvSpPr>
      <xdr:spPr bwMode="auto">
        <a:xfrm>
          <a:off x="2006600" y="2895600"/>
          <a:ext cx="1371600" cy="647700"/>
        </a:xfrm>
        <a:prstGeom prst="rect">
          <a:avLst/>
        </a:prstGeom>
        <a:solidFill>
          <a:srgbClr val="99CCFF"/>
        </a:solidFill>
        <a:ln w="9525">
          <a:solidFill>
            <a:srgbClr val="000000"/>
          </a:solidFill>
          <a:miter lim="800000"/>
          <a:headEnd/>
          <a:tailEnd/>
        </a:ln>
      </xdr:spPr>
    </xdr:sp>
    <xdr:clientData/>
  </xdr:twoCellAnchor>
  <xdr:twoCellAnchor>
    <xdr:from>
      <xdr:col>8</xdr:col>
      <xdr:colOff>76200</xdr:colOff>
      <xdr:row>20</xdr:row>
      <xdr:rowOff>0</xdr:rowOff>
    </xdr:from>
    <xdr:to>
      <xdr:col>9</xdr:col>
      <xdr:colOff>0</xdr:colOff>
      <xdr:row>22</xdr:row>
      <xdr:rowOff>25400</xdr:rowOff>
    </xdr:to>
    <xdr:sp macro="" textlink="">
      <xdr:nvSpPr>
        <xdr:cNvPr id="126059" name="Line 4">
          <a:extLst>
            <a:ext uri="{FF2B5EF4-FFF2-40B4-BE49-F238E27FC236}">
              <a16:creationId xmlns:a16="http://schemas.microsoft.com/office/drawing/2014/main" id="{11B70F51-B0D6-9B4C-AE35-C951DD2A6617}"/>
            </a:ext>
          </a:extLst>
        </xdr:cNvPr>
        <xdr:cNvSpPr>
          <a:spLocks noChangeShapeType="1"/>
        </xdr:cNvSpPr>
      </xdr:nvSpPr>
      <xdr:spPr bwMode="auto">
        <a:xfrm>
          <a:off x="5461000" y="3378200"/>
          <a:ext cx="596900" cy="3556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17</xdr:row>
      <xdr:rowOff>0</xdr:rowOff>
    </xdr:from>
    <xdr:to>
      <xdr:col>8</xdr:col>
      <xdr:colOff>88900</xdr:colOff>
      <xdr:row>21</xdr:row>
      <xdr:rowOff>25400</xdr:rowOff>
    </xdr:to>
    <xdr:sp macro="" textlink="">
      <xdr:nvSpPr>
        <xdr:cNvPr id="126060" name="Rectangle 3">
          <a:extLst>
            <a:ext uri="{FF2B5EF4-FFF2-40B4-BE49-F238E27FC236}">
              <a16:creationId xmlns:a16="http://schemas.microsoft.com/office/drawing/2014/main" id="{2ABFC92E-687A-DE48-AFB2-1EA1150F8680}"/>
            </a:ext>
          </a:extLst>
        </xdr:cNvPr>
        <xdr:cNvSpPr>
          <a:spLocks noChangeArrowheads="1"/>
        </xdr:cNvSpPr>
      </xdr:nvSpPr>
      <xdr:spPr bwMode="auto">
        <a:xfrm>
          <a:off x="5384800" y="2882900"/>
          <a:ext cx="88900" cy="685800"/>
        </a:xfrm>
        <a:prstGeom prst="rect">
          <a:avLst/>
        </a:prstGeom>
        <a:solidFill>
          <a:srgbClr val="99CCFF"/>
        </a:solidFill>
        <a:ln w="9525">
          <a:solidFill>
            <a:srgbClr val="000000"/>
          </a:solidFill>
          <a:miter lim="800000"/>
          <a:headEnd/>
          <a:tailEnd/>
        </a:ln>
      </xdr:spPr>
    </xdr:sp>
    <xdr:clientData/>
  </xdr:twoCellAnchor>
  <xdr:twoCellAnchor>
    <xdr:from>
      <xdr:col>8</xdr:col>
      <xdr:colOff>88900</xdr:colOff>
      <xdr:row>15</xdr:row>
      <xdr:rowOff>139700</xdr:rowOff>
    </xdr:from>
    <xdr:to>
      <xdr:col>9</xdr:col>
      <xdr:colOff>12700</xdr:colOff>
      <xdr:row>18</xdr:row>
      <xdr:rowOff>0</xdr:rowOff>
    </xdr:to>
    <xdr:sp macro="" textlink="">
      <xdr:nvSpPr>
        <xdr:cNvPr id="126061" name="Line 5">
          <a:extLst>
            <a:ext uri="{FF2B5EF4-FFF2-40B4-BE49-F238E27FC236}">
              <a16:creationId xmlns:a16="http://schemas.microsoft.com/office/drawing/2014/main" id="{FA0FB6F8-0404-BD44-95CF-DC35FFC82498}"/>
            </a:ext>
          </a:extLst>
        </xdr:cNvPr>
        <xdr:cNvSpPr>
          <a:spLocks noChangeShapeType="1"/>
        </xdr:cNvSpPr>
      </xdr:nvSpPr>
      <xdr:spPr bwMode="auto">
        <a:xfrm flipV="1">
          <a:off x="5473700" y="2692400"/>
          <a:ext cx="596900" cy="3556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508000</xdr:colOff>
      <xdr:row>17</xdr:row>
      <xdr:rowOff>152400</xdr:rowOff>
    </xdr:from>
    <xdr:to>
      <xdr:col>7</xdr:col>
      <xdr:colOff>520700</xdr:colOff>
      <xdr:row>20</xdr:row>
      <xdr:rowOff>12700</xdr:rowOff>
    </xdr:to>
    <xdr:sp macro="" textlink="">
      <xdr:nvSpPr>
        <xdr:cNvPr id="126062" name="Rectangle 6">
          <a:extLst>
            <a:ext uri="{FF2B5EF4-FFF2-40B4-BE49-F238E27FC236}">
              <a16:creationId xmlns:a16="http://schemas.microsoft.com/office/drawing/2014/main" id="{1AB7189C-1C37-D245-B3AC-EE3C1CD831DE}"/>
            </a:ext>
          </a:extLst>
        </xdr:cNvPr>
        <xdr:cNvSpPr>
          <a:spLocks noChangeArrowheads="1"/>
        </xdr:cNvSpPr>
      </xdr:nvSpPr>
      <xdr:spPr bwMode="auto">
        <a:xfrm>
          <a:off x="4546600" y="3035300"/>
          <a:ext cx="685800" cy="355600"/>
        </a:xfrm>
        <a:prstGeom prst="rect">
          <a:avLst/>
        </a:prstGeom>
        <a:solidFill>
          <a:srgbClr val="99CCFF"/>
        </a:solidFill>
        <a:ln w="9525">
          <a:solidFill>
            <a:srgbClr val="000000"/>
          </a:solidFill>
          <a:miter lim="800000"/>
          <a:headEnd/>
          <a:tailEnd/>
        </a:ln>
      </xdr:spPr>
    </xdr:sp>
    <xdr:clientData/>
  </xdr:twoCellAnchor>
  <xdr:twoCellAnchor>
    <xdr:from>
      <xdr:col>7</xdr:col>
      <xdr:colOff>520700</xdr:colOff>
      <xdr:row>19</xdr:row>
      <xdr:rowOff>0</xdr:rowOff>
    </xdr:from>
    <xdr:to>
      <xdr:col>7</xdr:col>
      <xdr:colOff>660400</xdr:colOff>
      <xdr:row>19</xdr:row>
      <xdr:rowOff>0</xdr:rowOff>
    </xdr:to>
    <xdr:sp macro="" textlink="">
      <xdr:nvSpPr>
        <xdr:cNvPr id="126063" name="Line 7">
          <a:extLst>
            <a:ext uri="{FF2B5EF4-FFF2-40B4-BE49-F238E27FC236}">
              <a16:creationId xmlns:a16="http://schemas.microsoft.com/office/drawing/2014/main" id="{C9FF63E8-E36A-DD44-A575-31DA387F2DFA}"/>
            </a:ext>
          </a:extLst>
        </xdr:cNvPr>
        <xdr:cNvSpPr>
          <a:spLocks noChangeShapeType="1"/>
        </xdr:cNvSpPr>
      </xdr:nvSpPr>
      <xdr:spPr bwMode="auto">
        <a:xfrm flipH="1">
          <a:off x="5232400" y="3213100"/>
          <a:ext cx="139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304800</xdr:colOff>
      <xdr:row>18</xdr:row>
      <xdr:rowOff>152400</xdr:rowOff>
    </xdr:from>
    <xdr:to>
      <xdr:col>6</xdr:col>
      <xdr:colOff>495300</xdr:colOff>
      <xdr:row>18</xdr:row>
      <xdr:rowOff>152400</xdr:rowOff>
    </xdr:to>
    <xdr:sp macro="" textlink="">
      <xdr:nvSpPr>
        <xdr:cNvPr id="126064" name="Line 8">
          <a:extLst>
            <a:ext uri="{FF2B5EF4-FFF2-40B4-BE49-F238E27FC236}">
              <a16:creationId xmlns:a16="http://schemas.microsoft.com/office/drawing/2014/main" id="{54A1B96F-65D2-8C4B-B39D-821505F6608D}"/>
            </a:ext>
          </a:extLst>
        </xdr:cNvPr>
        <xdr:cNvSpPr>
          <a:spLocks noChangeShapeType="1"/>
        </xdr:cNvSpPr>
      </xdr:nvSpPr>
      <xdr:spPr bwMode="auto">
        <a:xfrm flipH="1">
          <a:off x="3670300" y="3200400"/>
          <a:ext cx="863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215900</xdr:colOff>
      <xdr:row>18</xdr:row>
      <xdr:rowOff>114300</xdr:rowOff>
    </xdr:from>
    <xdr:to>
      <xdr:col>5</xdr:col>
      <xdr:colOff>355600</xdr:colOff>
      <xdr:row>19</xdr:row>
      <xdr:rowOff>25400</xdr:rowOff>
    </xdr:to>
    <xdr:sp macro="" textlink="">
      <xdr:nvSpPr>
        <xdr:cNvPr id="126065" name="AutoShape 9">
          <a:extLst>
            <a:ext uri="{FF2B5EF4-FFF2-40B4-BE49-F238E27FC236}">
              <a16:creationId xmlns:a16="http://schemas.microsoft.com/office/drawing/2014/main" id="{B23DC347-6583-F240-BC8A-60CB219662E4}"/>
            </a:ext>
          </a:extLst>
        </xdr:cNvPr>
        <xdr:cNvSpPr>
          <a:spLocks noChangeArrowheads="1"/>
        </xdr:cNvSpPr>
      </xdr:nvSpPr>
      <xdr:spPr bwMode="auto">
        <a:xfrm rot="-5400000">
          <a:off x="3613150" y="3130550"/>
          <a:ext cx="76200" cy="139700"/>
        </a:xfrm>
        <a:custGeom>
          <a:avLst/>
          <a:gdLst>
            <a:gd name="T0" fmla="*/ 128520052 w 21600"/>
            <a:gd name="T1" fmla="*/ 2147483647 h 21600"/>
            <a:gd name="T2" fmla="*/ 73439817 w 21600"/>
            <a:gd name="T3" fmla="*/ 2147483647 h 21600"/>
            <a:gd name="T4" fmla="*/ 18359893 w 21600"/>
            <a:gd name="T5" fmla="*/ 2147483647 h 21600"/>
            <a:gd name="T6" fmla="*/ 7343981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0000FF"/>
        </a:solidFill>
        <a:ln w="9525">
          <a:solidFill>
            <a:srgbClr val="000000"/>
          </a:solidFill>
          <a:miter lim="800000"/>
          <a:headEnd/>
          <a:tailEnd/>
        </a:ln>
      </xdr:spPr>
    </xdr:sp>
    <xdr:clientData/>
  </xdr:twoCellAnchor>
  <xdr:twoCellAnchor>
    <xdr:from>
      <xdr:col>5</xdr:col>
      <xdr:colOff>25400</xdr:colOff>
      <xdr:row>18</xdr:row>
      <xdr:rowOff>114300</xdr:rowOff>
    </xdr:from>
    <xdr:to>
      <xdr:col>5</xdr:col>
      <xdr:colOff>101600</xdr:colOff>
      <xdr:row>19</xdr:row>
      <xdr:rowOff>25400</xdr:rowOff>
    </xdr:to>
    <xdr:sp macro="" textlink="">
      <xdr:nvSpPr>
        <xdr:cNvPr id="126066" name="Rectangle 10">
          <a:extLst>
            <a:ext uri="{FF2B5EF4-FFF2-40B4-BE49-F238E27FC236}">
              <a16:creationId xmlns:a16="http://schemas.microsoft.com/office/drawing/2014/main" id="{6F916B5B-E315-6A48-957B-F1374AE3223B}"/>
            </a:ext>
          </a:extLst>
        </xdr:cNvPr>
        <xdr:cNvSpPr>
          <a:spLocks noChangeArrowheads="1"/>
        </xdr:cNvSpPr>
      </xdr:nvSpPr>
      <xdr:spPr bwMode="auto">
        <a:xfrm>
          <a:off x="3390900" y="3162300"/>
          <a:ext cx="76200" cy="76200"/>
        </a:xfrm>
        <a:prstGeom prst="rect">
          <a:avLst/>
        </a:prstGeom>
        <a:solidFill>
          <a:srgbClr val="0000FF"/>
        </a:solidFill>
        <a:ln w="9525">
          <a:solidFill>
            <a:srgbClr val="000000"/>
          </a:solidFill>
          <a:miter lim="800000"/>
          <a:headEnd/>
          <a:tailEnd/>
        </a:ln>
      </xdr:spPr>
    </xdr:sp>
    <xdr:clientData/>
  </xdr:twoCellAnchor>
  <xdr:oneCellAnchor>
    <xdr:from>
      <xdr:col>8</xdr:col>
      <xdr:colOff>457200</xdr:colOff>
      <xdr:row>18</xdr:row>
      <xdr:rowOff>66675</xdr:rowOff>
    </xdr:from>
    <xdr:ext cx="496161" cy="170560"/>
    <xdr:sp macro="" textlink="">
      <xdr:nvSpPr>
        <xdr:cNvPr id="18443" name="Text Box 11">
          <a:extLst>
            <a:ext uri="{FF2B5EF4-FFF2-40B4-BE49-F238E27FC236}">
              <a16:creationId xmlns:a16="http://schemas.microsoft.com/office/drawing/2014/main" id="{1915DE5A-5430-074D-9AB3-14E7025DDE9A}"/>
            </a:ext>
          </a:extLst>
        </xdr:cNvPr>
        <xdr:cNvSpPr txBox="1">
          <a:spLocks noChangeArrowheads="1"/>
        </xdr:cNvSpPr>
      </xdr:nvSpPr>
      <xdr:spPr bwMode="auto">
        <a:xfrm>
          <a:off x="5295900" y="3057525"/>
          <a:ext cx="496161"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Antenna</a:t>
          </a:r>
        </a:p>
      </xdr:txBody>
    </xdr:sp>
    <xdr:clientData/>
  </xdr:oneCellAnchor>
  <xdr:oneCellAnchor>
    <xdr:from>
      <xdr:col>6</xdr:col>
      <xdr:colOff>510467</xdr:colOff>
      <xdr:row>17</xdr:row>
      <xdr:rowOff>152400</xdr:rowOff>
    </xdr:from>
    <xdr:ext cx="557205" cy="318036"/>
    <xdr:sp macro="" textlink="">
      <xdr:nvSpPr>
        <xdr:cNvPr id="18444" name="Text Box 12">
          <a:extLst>
            <a:ext uri="{FF2B5EF4-FFF2-40B4-BE49-F238E27FC236}">
              <a16:creationId xmlns:a16="http://schemas.microsoft.com/office/drawing/2014/main" id="{F29D2057-9FE9-CF45-B87D-93182B9633A1}"/>
            </a:ext>
          </a:extLst>
        </xdr:cNvPr>
        <xdr:cNvSpPr txBox="1">
          <a:spLocks noChangeArrowheads="1"/>
        </xdr:cNvSpPr>
      </xdr:nvSpPr>
      <xdr:spPr bwMode="auto">
        <a:xfrm>
          <a:off x="4117267" y="2981325"/>
          <a:ext cx="557205" cy="318036"/>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0" i="0" strike="noStrike">
              <a:solidFill>
                <a:srgbClr val="000000"/>
              </a:solidFill>
              <a:latin typeface="Arial"/>
              <a:cs typeface="Arial"/>
            </a:rPr>
            <a:t>Matching</a:t>
          </a:r>
        </a:p>
        <a:p>
          <a:pPr algn="ctr" rtl="1">
            <a:defRPr sz="1000"/>
          </a:pPr>
          <a:r>
            <a:rPr lang="en-US" sz="1000" b="0" i="0" strike="noStrike">
              <a:solidFill>
                <a:srgbClr val="000000"/>
              </a:solidFill>
              <a:latin typeface="Arial"/>
              <a:cs typeface="Arial"/>
            </a:rPr>
            <a:t>Network</a:t>
          </a:r>
        </a:p>
      </xdr:txBody>
    </xdr:sp>
    <xdr:clientData/>
  </xdr:oneCellAnchor>
  <xdr:oneCellAnchor>
    <xdr:from>
      <xdr:col>3</xdr:col>
      <xdr:colOff>254000</xdr:colOff>
      <xdr:row>18</xdr:row>
      <xdr:rowOff>57150</xdr:rowOff>
    </xdr:from>
    <xdr:ext cx="666849" cy="170560"/>
    <xdr:sp macro="" textlink="">
      <xdr:nvSpPr>
        <xdr:cNvPr id="18445" name="Text Box 13">
          <a:extLst>
            <a:ext uri="{FF2B5EF4-FFF2-40B4-BE49-F238E27FC236}">
              <a16:creationId xmlns:a16="http://schemas.microsoft.com/office/drawing/2014/main" id="{89A60F21-8A89-F14E-9AF2-10F8A4A6DCFC}"/>
            </a:ext>
          </a:extLst>
        </xdr:cNvPr>
        <xdr:cNvSpPr txBox="1">
          <a:spLocks noChangeArrowheads="1"/>
        </xdr:cNvSpPr>
      </xdr:nvSpPr>
      <xdr:spPr bwMode="auto">
        <a:xfrm>
          <a:off x="2057400" y="3048000"/>
          <a:ext cx="666849"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Transmitter</a:t>
          </a:r>
        </a:p>
      </xdr:txBody>
    </xdr:sp>
    <xdr:clientData/>
  </xdr:oneCellAnchor>
  <xdr:oneCellAnchor>
    <xdr:from>
      <xdr:col>6</xdr:col>
      <xdr:colOff>517525</xdr:colOff>
      <xdr:row>22</xdr:row>
      <xdr:rowOff>142875</xdr:rowOff>
    </xdr:from>
    <xdr:ext cx="2564635" cy="318036"/>
    <xdr:sp macro="" textlink="">
      <xdr:nvSpPr>
        <xdr:cNvPr id="18446" name="Text Box 14">
          <a:extLst>
            <a:ext uri="{FF2B5EF4-FFF2-40B4-BE49-F238E27FC236}">
              <a16:creationId xmlns:a16="http://schemas.microsoft.com/office/drawing/2014/main" id="{A63E5329-EC80-E045-8E87-4F85514BF0BA}"/>
            </a:ext>
          </a:extLst>
        </xdr:cNvPr>
        <xdr:cNvSpPr txBox="1">
          <a:spLocks noChangeArrowheads="1"/>
        </xdr:cNvSpPr>
      </xdr:nvSpPr>
      <xdr:spPr bwMode="auto">
        <a:xfrm>
          <a:off x="4124325" y="3781425"/>
          <a:ext cx="2541530" cy="318036"/>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Measure  </a:t>
          </a:r>
          <a:r>
            <a:rPr lang="en-US" sz="1000" b="1" i="0" strike="noStrike">
              <a:solidFill>
                <a:srgbClr val="000000"/>
              </a:solidFill>
              <a:latin typeface="Arial"/>
              <a:cs typeface="Arial"/>
            </a:rPr>
            <a:t>Z</a:t>
          </a:r>
          <a:r>
            <a:rPr lang="en-US" sz="800" b="1" i="0" strike="noStrike">
              <a:solidFill>
                <a:srgbClr val="000000"/>
              </a:solidFill>
              <a:latin typeface="Arial"/>
              <a:cs typeface="Arial"/>
            </a:rPr>
            <a:t>sys </a:t>
          </a:r>
          <a:r>
            <a:rPr lang="en-US" sz="1000" b="0" i="0" strike="noStrike">
              <a:solidFill>
                <a:srgbClr val="000000"/>
              </a:solidFill>
              <a:latin typeface="Arial"/>
              <a:cs typeface="Arial"/>
            </a:rPr>
            <a:t> here using Network Analyzer</a:t>
          </a:r>
        </a:p>
        <a:p>
          <a:pPr algn="l" rtl="1">
            <a:defRPr sz="1000"/>
          </a:pPr>
          <a:r>
            <a:rPr lang="en-US" sz="1000" b="0" i="0" strike="noStrike">
              <a:solidFill>
                <a:srgbClr val="000000"/>
              </a:solidFill>
              <a:latin typeface="Arial"/>
              <a:cs typeface="Arial"/>
            </a:rPr>
            <a:t>or Impedance Bridge.</a:t>
          </a:r>
        </a:p>
      </xdr:txBody>
    </xdr:sp>
    <xdr:clientData/>
  </xdr:oneCellAnchor>
  <xdr:twoCellAnchor>
    <xdr:from>
      <xdr:col>5</xdr:col>
      <xdr:colOff>292100</xdr:colOff>
      <xdr:row>19</xdr:row>
      <xdr:rowOff>50800</xdr:rowOff>
    </xdr:from>
    <xdr:to>
      <xdr:col>6</xdr:col>
      <xdr:colOff>469900</xdr:colOff>
      <xdr:row>23</xdr:row>
      <xdr:rowOff>50800</xdr:rowOff>
    </xdr:to>
    <xdr:sp macro="" textlink="">
      <xdr:nvSpPr>
        <xdr:cNvPr id="126071" name="Line 15">
          <a:extLst>
            <a:ext uri="{FF2B5EF4-FFF2-40B4-BE49-F238E27FC236}">
              <a16:creationId xmlns:a16="http://schemas.microsoft.com/office/drawing/2014/main" id="{F17CE44C-D17F-2F44-B79C-C809BAD854F8}"/>
            </a:ext>
          </a:extLst>
        </xdr:cNvPr>
        <xdr:cNvSpPr>
          <a:spLocks noChangeShapeType="1"/>
        </xdr:cNvSpPr>
      </xdr:nvSpPr>
      <xdr:spPr bwMode="auto">
        <a:xfrm flipH="1" flipV="1">
          <a:off x="3657600" y="3263900"/>
          <a:ext cx="850900" cy="660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xdr:col>
      <xdr:colOff>476250</xdr:colOff>
      <xdr:row>25</xdr:row>
      <xdr:rowOff>114300</xdr:rowOff>
    </xdr:from>
    <xdr:ext cx="2501687" cy="318036"/>
    <xdr:sp macro="" textlink="">
      <xdr:nvSpPr>
        <xdr:cNvPr id="18448" name="Text Box 16">
          <a:extLst>
            <a:ext uri="{FF2B5EF4-FFF2-40B4-BE49-F238E27FC236}">
              <a16:creationId xmlns:a16="http://schemas.microsoft.com/office/drawing/2014/main" id="{81C054E6-2DEB-5A44-8D3C-1DD65CF131E9}"/>
            </a:ext>
          </a:extLst>
        </xdr:cNvPr>
        <xdr:cNvSpPr txBox="1">
          <a:spLocks noChangeArrowheads="1"/>
        </xdr:cNvSpPr>
      </xdr:nvSpPr>
      <xdr:spPr bwMode="auto">
        <a:xfrm>
          <a:off x="3486150" y="4238625"/>
          <a:ext cx="2490105" cy="318036"/>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Measure  </a:t>
          </a:r>
          <a:r>
            <a:rPr lang="en-US" sz="1000" b="1" i="0" strike="noStrike">
              <a:solidFill>
                <a:srgbClr val="000000"/>
              </a:solidFill>
              <a:latin typeface="Arial"/>
              <a:cs typeface="Arial"/>
            </a:rPr>
            <a:t>Z</a:t>
          </a:r>
          <a:r>
            <a:rPr lang="en-US" sz="800" b="1" i="0" strike="noStrike">
              <a:solidFill>
                <a:srgbClr val="000000"/>
              </a:solidFill>
              <a:latin typeface="Arial"/>
              <a:cs typeface="Arial"/>
            </a:rPr>
            <a:t>tx  </a:t>
          </a:r>
          <a:r>
            <a:rPr lang="en-US" sz="1000" b="0" i="0" strike="noStrike">
              <a:solidFill>
                <a:srgbClr val="000000"/>
              </a:solidFill>
              <a:latin typeface="Arial"/>
              <a:cs typeface="Arial"/>
            </a:rPr>
            <a:t>here using Network Analyzer </a:t>
          </a:r>
        </a:p>
        <a:p>
          <a:pPr algn="l" rtl="1">
            <a:defRPr sz="1000"/>
          </a:pPr>
          <a:r>
            <a:rPr lang="en-US" sz="1000" b="0" i="0" strike="noStrike">
              <a:solidFill>
                <a:srgbClr val="000000"/>
              </a:solidFill>
              <a:latin typeface="Arial"/>
              <a:cs typeface="Arial"/>
            </a:rPr>
            <a:t>or Impedance Bridge.</a:t>
          </a:r>
        </a:p>
      </xdr:txBody>
    </xdr:sp>
    <xdr:clientData/>
  </xdr:oneCellAnchor>
  <xdr:twoCellAnchor>
    <xdr:from>
      <xdr:col>5</xdr:col>
      <xdr:colOff>76200</xdr:colOff>
      <xdr:row>19</xdr:row>
      <xdr:rowOff>76200</xdr:rowOff>
    </xdr:from>
    <xdr:to>
      <xdr:col>5</xdr:col>
      <xdr:colOff>342900</xdr:colOff>
      <xdr:row>26</xdr:row>
      <xdr:rowOff>63500</xdr:rowOff>
    </xdr:to>
    <xdr:sp macro="" textlink="">
      <xdr:nvSpPr>
        <xdr:cNvPr id="126073" name="Line 17">
          <a:extLst>
            <a:ext uri="{FF2B5EF4-FFF2-40B4-BE49-F238E27FC236}">
              <a16:creationId xmlns:a16="http://schemas.microsoft.com/office/drawing/2014/main" id="{5F5224DA-2BFC-A34B-8BED-85E98CAD07FF}"/>
            </a:ext>
          </a:extLst>
        </xdr:cNvPr>
        <xdr:cNvSpPr>
          <a:spLocks noChangeShapeType="1"/>
        </xdr:cNvSpPr>
      </xdr:nvSpPr>
      <xdr:spPr bwMode="auto">
        <a:xfrm flipH="1" flipV="1">
          <a:off x="3441700" y="3289300"/>
          <a:ext cx="266700" cy="1143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342900</xdr:colOff>
      <xdr:row>26</xdr:row>
      <xdr:rowOff>50800</xdr:rowOff>
    </xdr:from>
    <xdr:to>
      <xdr:col>5</xdr:col>
      <xdr:colOff>469900</xdr:colOff>
      <xdr:row>26</xdr:row>
      <xdr:rowOff>50800</xdr:rowOff>
    </xdr:to>
    <xdr:sp macro="" textlink="">
      <xdr:nvSpPr>
        <xdr:cNvPr id="126074" name="Line 19">
          <a:extLst>
            <a:ext uri="{FF2B5EF4-FFF2-40B4-BE49-F238E27FC236}">
              <a16:creationId xmlns:a16="http://schemas.microsoft.com/office/drawing/2014/main" id="{C9FEAEBF-329A-2B4F-9015-3DD0958CA558}"/>
            </a:ext>
          </a:extLst>
        </xdr:cNvPr>
        <xdr:cNvSpPr>
          <a:spLocks noChangeShapeType="1"/>
        </xdr:cNvSpPr>
      </xdr:nvSpPr>
      <xdr:spPr bwMode="auto">
        <a:xfrm>
          <a:off x="3708400" y="4419600"/>
          <a:ext cx="127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304800</xdr:colOff>
      <xdr:row>33</xdr:row>
      <xdr:rowOff>12700</xdr:rowOff>
    </xdr:from>
    <xdr:to>
      <xdr:col>4</xdr:col>
      <xdr:colOff>330200</xdr:colOff>
      <xdr:row>37</xdr:row>
      <xdr:rowOff>0</xdr:rowOff>
    </xdr:to>
    <xdr:sp macro="" textlink="">
      <xdr:nvSpPr>
        <xdr:cNvPr id="126075" name="Rectangle 22">
          <a:extLst>
            <a:ext uri="{FF2B5EF4-FFF2-40B4-BE49-F238E27FC236}">
              <a16:creationId xmlns:a16="http://schemas.microsoft.com/office/drawing/2014/main" id="{4598BA38-882C-AD4F-8D1E-8D00A35C908F}"/>
            </a:ext>
          </a:extLst>
        </xdr:cNvPr>
        <xdr:cNvSpPr>
          <a:spLocks noChangeArrowheads="1"/>
        </xdr:cNvSpPr>
      </xdr:nvSpPr>
      <xdr:spPr bwMode="auto">
        <a:xfrm>
          <a:off x="1651000" y="5537200"/>
          <a:ext cx="1371600" cy="647700"/>
        </a:xfrm>
        <a:prstGeom prst="rect">
          <a:avLst/>
        </a:prstGeom>
        <a:solidFill>
          <a:srgbClr val="99CCFF"/>
        </a:solidFill>
        <a:ln w="9525">
          <a:solidFill>
            <a:srgbClr val="000000"/>
          </a:solidFill>
          <a:miter lim="800000"/>
          <a:headEnd/>
          <a:tailEnd/>
        </a:ln>
      </xdr:spPr>
    </xdr:sp>
    <xdr:clientData/>
  </xdr:twoCellAnchor>
  <xdr:oneCellAnchor>
    <xdr:from>
      <xdr:col>2</xdr:col>
      <xdr:colOff>555625</xdr:colOff>
      <xdr:row>34</xdr:row>
      <xdr:rowOff>47625</xdr:rowOff>
    </xdr:from>
    <xdr:ext cx="678548" cy="170560"/>
    <xdr:sp macro="" textlink="">
      <xdr:nvSpPr>
        <xdr:cNvPr id="18456" name="Text Box 24">
          <a:extLst>
            <a:ext uri="{FF2B5EF4-FFF2-40B4-BE49-F238E27FC236}">
              <a16:creationId xmlns:a16="http://schemas.microsoft.com/office/drawing/2014/main" id="{ACD0F082-87D9-CC42-880A-41B95E28BD62}"/>
            </a:ext>
          </a:extLst>
        </xdr:cNvPr>
        <xdr:cNvSpPr txBox="1">
          <a:spLocks noChangeArrowheads="1"/>
        </xdr:cNvSpPr>
      </xdr:nvSpPr>
      <xdr:spPr bwMode="auto">
        <a:xfrm>
          <a:off x="1724025" y="5629275"/>
          <a:ext cx="666849"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Transmitter</a:t>
          </a:r>
        </a:p>
      </xdr:txBody>
    </xdr:sp>
    <xdr:clientData/>
  </xdr:oneCellAnchor>
  <xdr:twoCellAnchor>
    <xdr:from>
      <xdr:col>9</xdr:col>
      <xdr:colOff>546100</xdr:colOff>
      <xdr:row>36</xdr:row>
      <xdr:rowOff>12700</xdr:rowOff>
    </xdr:from>
    <xdr:to>
      <xdr:col>10</xdr:col>
      <xdr:colOff>482600</xdr:colOff>
      <xdr:row>38</xdr:row>
      <xdr:rowOff>25400</xdr:rowOff>
    </xdr:to>
    <xdr:sp macro="" textlink="">
      <xdr:nvSpPr>
        <xdr:cNvPr id="126077" name="Line 26">
          <a:extLst>
            <a:ext uri="{FF2B5EF4-FFF2-40B4-BE49-F238E27FC236}">
              <a16:creationId xmlns:a16="http://schemas.microsoft.com/office/drawing/2014/main" id="{4FC7E230-D9C3-F24B-BD48-72443662A79C}"/>
            </a:ext>
          </a:extLst>
        </xdr:cNvPr>
        <xdr:cNvSpPr>
          <a:spLocks noChangeShapeType="1"/>
        </xdr:cNvSpPr>
      </xdr:nvSpPr>
      <xdr:spPr bwMode="auto">
        <a:xfrm>
          <a:off x="6604000" y="6032500"/>
          <a:ext cx="609600" cy="3429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469900</xdr:colOff>
      <xdr:row>33</xdr:row>
      <xdr:rowOff>12700</xdr:rowOff>
    </xdr:from>
    <xdr:to>
      <xdr:col>9</xdr:col>
      <xdr:colOff>558800</xdr:colOff>
      <xdr:row>37</xdr:row>
      <xdr:rowOff>38100</xdr:rowOff>
    </xdr:to>
    <xdr:sp macro="" textlink="">
      <xdr:nvSpPr>
        <xdr:cNvPr id="126078" name="Rectangle 25">
          <a:extLst>
            <a:ext uri="{FF2B5EF4-FFF2-40B4-BE49-F238E27FC236}">
              <a16:creationId xmlns:a16="http://schemas.microsoft.com/office/drawing/2014/main" id="{58017F75-EDD9-AB49-BDF0-00EEE51E95DF}"/>
            </a:ext>
          </a:extLst>
        </xdr:cNvPr>
        <xdr:cNvSpPr>
          <a:spLocks noChangeArrowheads="1"/>
        </xdr:cNvSpPr>
      </xdr:nvSpPr>
      <xdr:spPr bwMode="auto">
        <a:xfrm>
          <a:off x="6527800" y="5537200"/>
          <a:ext cx="88900" cy="685800"/>
        </a:xfrm>
        <a:prstGeom prst="rect">
          <a:avLst/>
        </a:prstGeom>
        <a:solidFill>
          <a:srgbClr val="99CCFF"/>
        </a:solidFill>
        <a:ln w="9525">
          <a:solidFill>
            <a:srgbClr val="000000"/>
          </a:solidFill>
          <a:miter lim="800000"/>
          <a:headEnd/>
          <a:tailEnd/>
        </a:ln>
      </xdr:spPr>
    </xdr:sp>
    <xdr:clientData/>
  </xdr:twoCellAnchor>
  <xdr:twoCellAnchor>
    <xdr:from>
      <xdr:col>9</xdr:col>
      <xdr:colOff>558800</xdr:colOff>
      <xdr:row>31</xdr:row>
      <xdr:rowOff>152400</xdr:rowOff>
    </xdr:from>
    <xdr:to>
      <xdr:col>10</xdr:col>
      <xdr:colOff>495300</xdr:colOff>
      <xdr:row>34</xdr:row>
      <xdr:rowOff>12700</xdr:rowOff>
    </xdr:to>
    <xdr:sp macro="" textlink="">
      <xdr:nvSpPr>
        <xdr:cNvPr id="126079" name="Line 27">
          <a:extLst>
            <a:ext uri="{FF2B5EF4-FFF2-40B4-BE49-F238E27FC236}">
              <a16:creationId xmlns:a16="http://schemas.microsoft.com/office/drawing/2014/main" id="{53B0FBEE-B846-5C44-A940-FBFD43094C6D}"/>
            </a:ext>
          </a:extLst>
        </xdr:cNvPr>
        <xdr:cNvSpPr>
          <a:spLocks noChangeShapeType="1"/>
        </xdr:cNvSpPr>
      </xdr:nvSpPr>
      <xdr:spPr bwMode="auto">
        <a:xfrm flipV="1">
          <a:off x="6616700" y="5346700"/>
          <a:ext cx="609600" cy="3556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304800</xdr:colOff>
      <xdr:row>34</xdr:row>
      <xdr:rowOff>0</xdr:rowOff>
    </xdr:from>
    <xdr:to>
      <xdr:col>9</xdr:col>
      <xdr:colOff>317500</xdr:colOff>
      <xdr:row>36</xdr:row>
      <xdr:rowOff>25400</xdr:rowOff>
    </xdr:to>
    <xdr:sp macro="" textlink="">
      <xdr:nvSpPr>
        <xdr:cNvPr id="126080" name="Rectangle 28">
          <a:extLst>
            <a:ext uri="{FF2B5EF4-FFF2-40B4-BE49-F238E27FC236}">
              <a16:creationId xmlns:a16="http://schemas.microsoft.com/office/drawing/2014/main" id="{A19CFAC3-086A-514E-9376-B46C1E385CE5}"/>
            </a:ext>
          </a:extLst>
        </xdr:cNvPr>
        <xdr:cNvSpPr>
          <a:spLocks noChangeArrowheads="1"/>
        </xdr:cNvSpPr>
      </xdr:nvSpPr>
      <xdr:spPr bwMode="auto">
        <a:xfrm>
          <a:off x="5689600" y="5689600"/>
          <a:ext cx="685800" cy="355600"/>
        </a:xfrm>
        <a:prstGeom prst="rect">
          <a:avLst/>
        </a:prstGeom>
        <a:solidFill>
          <a:srgbClr val="99CCFF"/>
        </a:solidFill>
        <a:ln w="9525">
          <a:solidFill>
            <a:srgbClr val="000000"/>
          </a:solidFill>
          <a:miter lim="800000"/>
          <a:headEnd/>
          <a:tailEnd/>
        </a:ln>
      </xdr:spPr>
    </xdr:sp>
    <xdr:clientData/>
  </xdr:twoCellAnchor>
  <xdr:twoCellAnchor>
    <xdr:from>
      <xdr:col>9</xdr:col>
      <xdr:colOff>330200</xdr:colOff>
      <xdr:row>35</xdr:row>
      <xdr:rowOff>12700</xdr:rowOff>
    </xdr:from>
    <xdr:to>
      <xdr:col>9</xdr:col>
      <xdr:colOff>469900</xdr:colOff>
      <xdr:row>35</xdr:row>
      <xdr:rowOff>12700</xdr:rowOff>
    </xdr:to>
    <xdr:sp macro="" textlink="">
      <xdr:nvSpPr>
        <xdr:cNvPr id="126081" name="Line 29">
          <a:extLst>
            <a:ext uri="{FF2B5EF4-FFF2-40B4-BE49-F238E27FC236}">
              <a16:creationId xmlns:a16="http://schemas.microsoft.com/office/drawing/2014/main" id="{B480F539-984C-7A4B-9A15-B31944B2DC3B}"/>
            </a:ext>
          </a:extLst>
        </xdr:cNvPr>
        <xdr:cNvSpPr>
          <a:spLocks noChangeShapeType="1"/>
        </xdr:cNvSpPr>
      </xdr:nvSpPr>
      <xdr:spPr bwMode="auto">
        <a:xfrm flipH="1">
          <a:off x="6388100" y="5867400"/>
          <a:ext cx="139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101600</xdr:colOff>
      <xdr:row>35</xdr:row>
      <xdr:rowOff>0</xdr:rowOff>
    </xdr:from>
    <xdr:to>
      <xdr:col>8</xdr:col>
      <xdr:colOff>292100</xdr:colOff>
      <xdr:row>35</xdr:row>
      <xdr:rowOff>0</xdr:rowOff>
    </xdr:to>
    <xdr:sp macro="" textlink="">
      <xdr:nvSpPr>
        <xdr:cNvPr id="126082" name="Line 30">
          <a:extLst>
            <a:ext uri="{FF2B5EF4-FFF2-40B4-BE49-F238E27FC236}">
              <a16:creationId xmlns:a16="http://schemas.microsoft.com/office/drawing/2014/main" id="{773D6683-1DBE-F549-AA0C-7E1E4885E490}"/>
            </a:ext>
          </a:extLst>
        </xdr:cNvPr>
        <xdr:cNvSpPr>
          <a:spLocks noChangeShapeType="1"/>
        </xdr:cNvSpPr>
      </xdr:nvSpPr>
      <xdr:spPr bwMode="auto">
        <a:xfrm flipH="1">
          <a:off x="4813300" y="5854700"/>
          <a:ext cx="863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12700</xdr:colOff>
      <xdr:row>34</xdr:row>
      <xdr:rowOff>127000</xdr:rowOff>
    </xdr:from>
    <xdr:to>
      <xdr:col>7</xdr:col>
      <xdr:colOff>152400</xdr:colOff>
      <xdr:row>35</xdr:row>
      <xdr:rowOff>38100</xdr:rowOff>
    </xdr:to>
    <xdr:sp macro="" textlink="">
      <xdr:nvSpPr>
        <xdr:cNvPr id="126083" name="AutoShape 31">
          <a:extLst>
            <a:ext uri="{FF2B5EF4-FFF2-40B4-BE49-F238E27FC236}">
              <a16:creationId xmlns:a16="http://schemas.microsoft.com/office/drawing/2014/main" id="{21DA5DF2-36EE-AE48-A7DF-64F29A5CAE69}"/>
            </a:ext>
          </a:extLst>
        </xdr:cNvPr>
        <xdr:cNvSpPr>
          <a:spLocks noChangeArrowheads="1"/>
        </xdr:cNvSpPr>
      </xdr:nvSpPr>
      <xdr:spPr bwMode="auto">
        <a:xfrm rot="-5400000">
          <a:off x="4756150" y="5784850"/>
          <a:ext cx="76200" cy="139700"/>
        </a:xfrm>
        <a:custGeom>
          <a:avLst/>
          <a:gdLst>
            <a:gd name="T0" fmla="*/ 128520052 w 21600"/>
            <a:gd name="T1" fmla="*/ 2147483647 h 21600"/>
            <a:gd name="T2" fmla="*/ 73439817 w 21600"/>
            <a:gd name="T3" fmla="*/ 2147483647 h 21600"/>
            <a:gd name="T4" fmla="*/ 18359893 w 21600"/>
            <a:gd name="T5" fmla="*/ 2147483647 h 21600"/>
            <a:gd name="T6" fmla="*/ 7343981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0000FF"/>
        </a:solidFill>
        <a:ln w="9525">
          <a:solidFill>
            <a:srgbClr val="000000"/>
          </a:solidFill>
          <a:miter lim="800000"/>
          <a:headEnd/>
          <a:tailEnd/>
        </a:ln>
      </xdr:spPr>
    </xdr:sp>
    <xdr:clientData/>
  </xdr:twoCellAnchor>
  <xdr:oneCellAnchor>
    <xdr:from>
      <xdr:col>10</xdr:col>
      <xdr:colOff>263525</xdr:colOff>
      <xdr:row>34</xdr:row>
      <xdr:rowOff>76200</xdr:rowOff>
    </xdr:from>
    <xdr:ext cx="496162" cy="170560"/>
    <xdr:sp macro="" textlink="">
      <xdr:nvSpPr>
        <xdr:cNvPr id="18464" name="Text Box 32">
          <a:extLst>
            <a:ext uri="{FF2B5EF4-FFF2-40B4-BE49-F238E27FC236}">
              <a16:creationId xmlns:a16="http://schemas.microsoft.com/office/drawing/2014/main" id="{B9B36D9A-9243-F84B-8A00-2E9D750374A6}"/>
            </a:ext>
          </a:extLst>
        </xdr:cNvPr>
        <xdr:cNvSpPr txBox="1">
          <a:spLocks noChangeArrowheads="1"/>
        </xdr:cNvSpPr>
      </xdr:nvSpPr>
      <xdr:spPr bwMode="auto">
        <a:xfrm>
          <a:off x="6994525" y="5765800"/>
          <a:ext cx="496162"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Antenna</a:t>
          </a:r>
        </a:p>
      </xdr:txBody>
    </xdr:sp>
    <xdr:clientData/>
  </xdr:oneCellAnchor>
  <xdr:oneCellAnchor>
    <xdr:from>
      <xdr:col>8</xdr:col>
      <xdr:colOff>304092</xdr:colOff>
      <xdr:row>34</xdr:row>
      <xdr:rowOff>0</xdr:rowOff>
    </xdr:from>
    <xdr:ext cx="557205" cy="318036"/>
    <xdr:sp macro="" textlink="">
      <xdr:nvSpPr>
        <xdr:cNvPr id="18465" name="Text Box 33">
          <a:extLst>
            <a:ext uri="{FF2B5EF4-FFF2-40B4-BE49-F238E27FC236}">
              <a16:creationId xmlns:a16="http://schemas.microsoft.com/office/drawing/2014/main" id="{5FE88DD4-9028-6943-8156-9933A8C4D347}"/>
            </a:ext>
          </a:extLst>
        </xdr:cNvPr>
        <xdr:cNvSpPr txBox="1">
          <a:spLocks noChangeArrowheads="1"/>
        </xdr:cNvSpPr>
      </xdr:nvSpPr>
      <xdr:spPr bwMode="auto">
        <a:xfrm>
          <a:off x="5155492" y="5581650"/>
          <a:ext cx="557205" cy="318036"/>
        </a:xfrm>
        <a:prstGeom prst="rect">
          <a:avLst/>
        </a:prstGeom>
        <a:noFill/>
        <a:ln w="9525">
          <a:noFill/>
          <a:miter lim="800000"/>
          <a:headEnd/>
          <a:tailEnd/>
        </a:ln>
      </xdr:spPr>
      <xdr:txBody>
        <a:bodyPr wrap="none" lIns="18288" tIns="22860" rIns="18288" bIns="0" anchor="t" upright="1">
          <a:spAutoFit/>
        </a:bodyPr>
        <a:lstStyle/>
        <a:p>
          <a:pPr algn="ctr" rtl="1">
            <a:defRPr sz="1000"/>
          </a:pPr>
          <a:r>
            <a:rPr lang="en-US" sz="1000" b="0" i="0" strike="noStrike">
              <a:solidFill>
                <a:srgbClr val="000000"/>
              </a:solidFill>
              <a:latin typeface="Arial"/>
              <a:cs typeface="Arial"/>
            </a:rPr>
            <a:t>Matching</a:t>
          </a:r>
        </a:p>
        <a:p>
          <a:pPr algn="ctr" rtl="1">
            <a:defRPr sz="1000"/>
          </a:pPr>
          <a:r>
            <a:rPr lang="en-US" sz="1000" b="0" i="0" strike="noStrike">
              <a:solidFill>
                <a:srgbClr val="000000"/>
              </a:solidFill>
              <a:latin typeface="Arial"/>
              <a:cs typeface="Arial"/>
            </a:rPr>
            <a:t>Network</a:t>
          </a:r>
        </a:p>
      </xdr:txBody>
    </xdr:sp>
    <xdr:clientData/>
  </xdr:oneCellAnchor>
  <xdr:twoCellAnchor>
    <xdr:from>
      <xdr:col>6</xdr:col>
      <xdr:colOff>0</xdr:colOff>
      <xdr:row>33</xdr:row>
      <xdr:rowOff>12700</xdr:rowOff>
    </xdr:from>
    <xdr:to>
      <xdr:col>7</xdr:col>
      <xdr:colOff>0</xdr:colOff>
      <xdr:row>40</xdr:row>
      <xdr:rowOff>0</xdr:rowOff>
    </xdr:to>
    <xdr:sp macro="" textlink="">
      <xdr:nvSpPr>
        <xdr:cNvPr id="126086" name="Rectangle 34">
          <a:extLst>
            <a:ext uri="{FF2B5EF4-FFF2-40B4-BE49-F238E27FC236}">
              <a16:creationId xmlns:a16="http://schemas.microsoft.com/office/drawing/2014/main" id="{7449ED75-8A5E-8445-8587-D71EA6D46AF5}"/>
            </a:ext>
          </a:extLst>
        </xdr:cNvPr>
        <xdr:cNvSpPr>
          <a:spLocks noChangeArrowheads="1"/>
        </xdr:cNvSpPr>
      </xdr:nvSpPr>
      <xdr:spPr bwMode="auto">
        <a:xfrm>
          <a:off x="4038600" y="5537200"/>
          <a:ext cx="673100" cy="1143000"/>
        </a:xfrm>
        <a:prstGeom prst="rect">
          <a:avLst/>
        </a:prstGeom>
        <a:solidFill>
          <a:srgbClr val="99CCFF"/>
        </a:solidFill>
        <a:ln w="9525">
          <a:solidFill>
            <a:srgbClr val="000000"/>
          </a:solidFill>
          <a:miter lim="800000"/>
          <a:headEnd/>
          <a:tailEnd/>
        </a:ln>
      </xdr:spPr>
    </xdr:sp>
    <xdr:clientData/>
  </xdr:twoCellAnchor>
  <xdr:twoCellAnchor>
    <xdr:from>
      <xdr:col>6</xdr:col>
      <xdr:colOff>88900</xdr:colOff>
      <xdr:row>33</xdr:row>
      <xdr:rowOff>114300</xdr:rowOff>
    </xdr:from>
    <xdr:to>
      <xdr:col>6</xdr:col>
      <xdr:colOff>584200</xdr:colOff>
      <xdr:row>36</xdr:row>
      <xdr:rowOff>63500</xdr:rowOff>
    </xdr:to>
    <xdr:sp macro="" textlink="">
      <xdr:nvSpPr>
        <xdr:cNvPr id="126087" name="Oval 35">
          <a:extLst>
            <a:ext uri="{FF2B5EF4-FFF2-40B4-BE49-F238E27FC236}">
              <a16:creationId xmlns:a16="http://schemas.microsoft.com/office/drawing/2014/main" id="{EE154766-B432-BF43-8E33-2721C95BF4DC}"/>
            </a:ext>
          </a:extLst>
        </xdr:cNvPr>
        <xdr:cNvSpPr>
          <a:spLocks noChangeArrowheads="1"/>
        </xdr:cNvSpPr>
      </xdr:nvSpPr>
      <xdr:spPr bwMode="auto">
        <a:xfrm>
          <a:off x="4127500" y="5638800"/>
          <a:ext cx="495300" cy="444500"/>
        </a:xfrm>
        <a:prstGeom prst="ellipse">
          <a:avLst/>
        </a:prstGeom>
        <a:solidFill>
          <a:srgbClr val="FFFF99"/>
        </a:solidFill>
        <a:ln w="9525">
          <a:solidFill>
            <a:srgbClr val="000000"/>
          </a:solidFill>
          <a:round/>
          <a:headEnd/>
          <a:tailEnd/>
        </a:ln>
      </xdr:spPr>
    </xdr:sp>
    <xdr:clientData/>
  </xdr:twoCellAnchor>
  <xdr:twoCellAnchor>
    <xdr:from>
      <xdr:col>6</xdr:col>
      <xdr:colOff>190500</xdr:colOff>
      <xdr:row>34</xdr:row>
      <xdr:rowOff>101600</xdr:rowOff>
    </xdr:from>
    <xdr:to>
      <xdr:col>6</xdr:col>
      <xdr:colOff>304800</xdr:colOff>
      <xdr:row>35</xdr:row>
      <xdr:rowOff>114300</xdr:rowOff>
    </xdr:to>
    <xdr:sp macro="" textlink="">
      <xdr:nvSpPr>
        <xdr:cNvPr id="126088" name="Line 36">
          <a:extLst>
            <a:ext uri="{FF2B5EF4-FFF2-40B4-BE49-F238E27FC236}">
              <a16:creationId xmlns:a16="http://schemas.microsoft.com/office/drawing/2014/main" id="{F887E75E-8204-5244-B5FF-94AB9359DD05}"/>
            </a:ext>
          </a:extLst>
        </xdr:cNvPr>
        <xdr:cNvSpPr>
          <a:spLocks noChangeShapeType="1"/>
        </xdr:cNvSpPr>
      </xdr:nvSpPr>
      <xdr:spPr bwMode="auto">
        <a:xfrm flipH="1" flipV="1">
          <a:off x="4229100" y="5791200"/>
          <a:ext cx="114300" cy="177800"/>
        </a:xfrm>
        <a:prstGeom prst="line">
          <a:avLst/>
        </a:prstGeom>
        <a:noFill/>
        <a:ln w="9525">
          <a:solidFill>
            <a:srgbClr val="000000"/>
          </a:solidFill>
          <a:round/>
          <a:headEnd type="oval" w="med" len="me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533400</xdr:colOff>
      <xdr:row>34</xdr:row>
      <xdr:rowOff>127000</xdr:rowOff>
    </xdr:from>
    <xdr:to>
      <xdr:col>6</xdr:col>
      <xdr:colOff>12700</xdr:colOff>
      <xdr:row>35</xdr:row>
      <xdr:rowOff>38100</xdr:rowOff>
    </xdr:to>
    <xdr:sp macro="" textlink="">
      <xdr:nvSpPr>
        <xdr:cNvPr id="126089" name="AutoShape 37">
          <a:extLst>
            <a:ext uri="{FF2B5EF4-FFF2-40B4-BE49-F238E27FC236}">
              <a16:creationId xmlns:a16="http://schemas.microsoft.com/office/drawing/2014/main" id="{6147DC25-C980-3A45-A87A-EC471EF6DE7C}"/>
            </a:ext>
          </a:extLst>
        </xdr:cNvPr>
        <xdr:cNvSpPr>
          <a:spLocks noChangeArrowheads="1"/>
        </xdr:cNvSpPr>
      </xdr:nvSpPr>
      <xdr:spPr bwMode="auto">
        <a:xfrm rot="5400000">
          <a:off x="3937000" y="5778500"/>
          <a:ext cx="76200" cy="152400"/>
        </a:xfrm>
        <a:custGeom>
          <a:avLst/>
          <a:gdLst>
            <a:gd name="T0" fmla="*/ 128520052 w 21600"/>
            <a:gd name="T1" fmla="*/ 2147483647 h 21600"/>
            <a:gd name="T2" fmla="*/ 73439817 w 21600"/>
            <a:gd name="T3" fmla="*/ 2147483647 h 21600"/>
            <a:gd name="T4" fmla="*/ 18359893 w 21600"/>
            <a:gd name="T5" fmla="*/ 2147483647 h 21600"/>
            <a:gd name="T6" fmla="*/ 7343981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0000FF"/>
        </a:solidFill>
        <a:ln w="9525">
          <a:solidFill>
            <a:srgbClr val="000000"/>
          </a:solidFill>
          <a:miter lim="800000"/>
          <a:headEnd/>
          <a:tailEnd/>
        </a:ln>
      </xdr:spPr>
    </xdr:sp>
    <xdr:clientData/>
  </xdr:twoCellAnchor>
  <xdr:twoCellAnchor>
    <xdr:from>
      <xdr:col>4</xdr:col>
      <xdr:colOff>342900</xdr:colOff>
      <xdr:row>34</xdr:row>
      <xdr:rowOff>127000</xdr:rowOff>
    </xdr:from>
    <xdr:to>
      <xdr:col>4</xdr:col>
      <xdr:colOff>482600</xdr:colOff>
      <xdr:row>35</xdr:row>
      <xdr:rowOff>38100</xdr:rowOff>
    </xdr:to>
    <xdr:sp macro="" textlink="">
      <xdr:nvSpPr>
        <xdr:cNvPr id="126090" name="AutoShape 38">
          <a:extLst>
            <a:ext uri="{FF2B5EF4-FFF2-40B4-BE49-F238E27FC236}">
              <a16:creationId xmlns:a16="http://schemas.microsoft.com/office/drawing/2014/main" id="{F8967790-5842-B649-B79A-925D71FA52E9}"/>
            </a:ext>
          </a:extLst>
        </xdr:cNvPr>
        <xdr:cNvSpPr>
          <a:spLocks noChangeArrowheads="1"/>
        </xdr:cNvSpPr>
      </xdr:nvSpPr>
      <xdr:spPr bwMode="auto">
        <a:xfrm rot="-5400000">
          <a:off x="3067050" y="5784850"/>
          <a:ext cx="76200" cy="139700"/>
        </a:xfrm>
        <a:custGeom>
          <a:avLst/>
          <a:gdLst>
            <a:gd name="T0" fmla="*/ 128520052 w 21600"/>
            <a:gd name="T1" fmla="*/ 2147483647 h 21600"/>
            <a:gd name="T2" fmla="*/ 73439817 w 21600"/>
            <a:gd name="T3" fmla="*/ 2147483647 h 21600"/>
            <a:gd name="T4" fmla="*/ 18359893 w 21600"/>
            <a:gd name="T5" fmla="*/ 2147483647 h 21600"/>
            <a:gd name="T6" fmla="*/ 7343981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0000FF"/>
        </a:solidFill>
        <a:ln w="9525">
          <a:solidFill>
            <a:srgbClr val="000000"/>
          </a:solidFill>
          <a:miter lim="800000"/>
          <a:headEnd/>
          <a:tailEnd/>
        </a:ln>
      </xdr:spPr>
    </xdr:sp>
    <xdr:clientData/>
  </xdr:twoCellAnchor>
  <xdr:twoCellAnchor>
    <xdr:from>
      <xdr:col>4</xdr:col>
      <xdr:colOff>482600</xdr:colOff>
      <xdr:row>35</xdr:row>
      <xdr:rowOff>0</xdr:rowOff>
    </xdr:from>
    <xdr:to>
      <xdr:col>5</xdr:col>
      <xdr:colOff>533400</xdr:colOff>
      <xdr:row>35</xdr:row>
      <xdr:rowOff>0</xdr:rowOff>
    </xdr:to>
    <xdr:sp macro="" textlink="">
      <xdr:nvSpPr>
        <xdr:cNvPr id="126091" name="Line 39">
          <a:extLst>
            <a:ext uri="{FF2B5EF4-FFF2-40B4-BE49-F238E27FC236}">
              <a16:creationId xmlns:a16="http://schemas.microsoft.com/office/drawing/2014/main" id="{6C67FDCD-C494-3344-BF23-D4DAD3E78C60}"/>
            </a:ext>
          </a:extLst>
        </xdr:cNvPr>
        <xdr:cNvSpPr>
          <a:spLocks noChangeShapeType="1"/>
        </xdr:cNvSpPr>
      </xdr:nvSpPr>
      <xdr:spPr bwMode="auto">
        <a:xfrm>
          <a:off x="3175000" y="5854700"/>
          <a:ext cx="7239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xdr:col>
      <xdr:colOff>387350</xdr:colOff>
      <xdr:row>31</xdr:row>
      <xdr:rowOff>38100</xdr:rowOff>
    </xdr:from>
    <xdr:ext cx="1073243" cy="170560"/>
    <xdr:sp macro="" textlink="">
      <xdr:nvSpPr>
        <xdr:cNvPr id="18472" name="Text Box 40">
          <a:extLst>
            <a:ext uri="{FF2B5EF4-FFF2-40B4-BE49-F238E27FC236}">
              <a16:creationId xmlns:a16="http://schemas.microsoft.com/office/drawing/2014/main" id="{60E29AF6-707D-A244-B250-036B1770B084}"/>
            </a:ext>
          </a:extLst>
        </xdr:cNvPr>
        <xdr:cNvSpPr txBox="1">
          <a:spLocks noChangeArrowheads="1"/>
        </xdr:cNvSpPr>
      </xdr:nvSpPr>
      <xdr:spPr bwMode="auto">
        <a:xfrm>
          <a:off x="3409950" y="5133975"/>
          <a:ext cx="1073243"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In-Line Watt Meter</a:t>
          </a:r>
        </a:p>
      </xdr:txBody>
    </xdr:sp>
    <xdr:clientData/>
  </xdr:oneCellAnchor>
  <xdr:oneCellAnchor>
    <xdr:from>
      <xdr:col>5</xdr:col>
      <xdr:colOff>244475</xdr:colOff>
      <xdr:row>44</xdr:row>
      <xdr:rowOff>0</xdr:rowOff>
    </xdr:from>
    <xdr:ext cx="1667246" cy="170560"/>
    <xdr:sp macro="" textlink="">
      <xdr:nvSpPr>
        <xdr:cNvPr id="18473" name="Text Box 41">
          <a:extLst>
            <a:ext uri="{FF2B5EF4-FFF2-40B4-BE49-F238E27FC236}">
              <a16:creationId xmlns:a16="http://schemas.microsoft.com/office/drawing/2014/main" id="{7A02CAB3-8864-A74C-8F0B-9E9BE02808D2}"/>
            </a:ext>
          </a:extLst>
        </xdr:cNvPr>
        <xdr:cNvSpPr txBox="1">
          <a:spLocks noChangeArrowheads="1"/>
        </xdr:cNvSpPr>
      </xdr:nvSpPr>
      <xdr:spPr bwMode="auto">
        <a:xfrm>
          <a:off x="3267075" y="7200900"/>
          <a:ext cx="167866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TEST</a:t>
          </a:r>
          <a:r>
            <a:rPr lang="en-US" sz="1000" b="0" i="0" strike="noStrike">
              <a:solidFill>
                <a:srgbClr val="000000"/>
              </a:solidFill>
              <a:latin typeface="Arial"/>
              <a:cs typeface="Arial"/>
            </a:rPr>
            <a:t> </a:t>
          </a:r>
          <a:r>
            <a:rPr lang="en-US" sz="1000" b="1" i="0" strike="noStrike">
              <a:solidFill>
                <a:srgbClr val="000000"/>
              </a:solidFill>
              <a:latin typeface="Arial"/>
              <a:cs typeface="Arial"/>
            </a:rPr>
            <a:t>CONFIGURATION #2 </a:t>
          </a:r>
        </a:p>
      </xdr:txBody>
    </xdr:sp>
    <xdr:clientData/>
  </xdr:oneCellAnchor>
  <xdr:twoCellAnchor>
    <xdr:from>
      <xdr:col>6</xdr:col>
      <xdr:colOff>203200</xdr:colOff>
      <xdr:row>37</xdr:row>
      <xdr:rowOff>101600</xdr:rowOff>
    </xdr:from>
    <xdr:to>
      <xdr:col>6</xdr:col>
      <xdr:colOff>457200</xdr:colOff>
      <xdr:row>39</xdr:row>
      <xdr:rowOff>0</xdr:rowOff>
    </xdr:to>
    <xdr:sp macro="" textlink="">
      <xdr:nvSpPr>
        <xdr:cNvPr id="126094" name="Oval 42">
          <a:extLst>
            <a:ext uri="{FF2B5EF4-FFF2-40B4-BE49-F238E27FC236}">
              <a16:creationId xmlns:a16="http://schemas.microsoft.com/office/drawing/2014/main" id="{653A8E3B-411D-E140-AD76-C31D3E2F51BE}"/>
            </a:ext>
          </a:extLst>
        </xdr:cNvPr>
        <xdr:cNvSpPr>
          <a:spLocks noChangeArrowheads="1"/>
        </xdr:cNvSpPr>
      </xdr:nvSpPr>
      <xdr:spPr bwMode="auto">
        <a:xfrm>
          <a:off x="4241800" y="6286500"/>
          <a:ext cx="254000" cy="228600"/>
        </a:xfrm>
        <a:prstGeom prst="ellipse">
          <a:avLst/>
        </a:prstGeom>
        <a:solidFill>
          <a:srgbClr val="FFCC00"/>
        </a:solidFill>
        <a:ln w="9525">
          <a:solidFill>
            <a:srgbClr val="000000"/>
          </a:solidFill>
          <a:round/>
          <a:headEnd/>
          <a:tailEnd/>
        </a:ln>
      </xdr:spPr>
    </xdr:sp>
    <xdr:clientData/>
  </xdr:twoCellAnchor>
  <xdr:twoCellAnchor>
    <xdr:from>
      <xdr:col>6</xdr:col>
      <xdr:colOff>241300</xdr:colOff>
      <xdr:row>38</xdr:row>
      <xdr:rowOff>50800</xdr:rowOff>
    </xdr:from>
    <xdr:to>
      <xdr:col>6</xdr:col>
      <xdr:colOff>393700</xdr:colOff>
      <xdr:row>38</xdr:row>
      <xdr:rowOff>50800</xdr:rowOff>
    </xdr:to>
    <xdr:sp macro="" textlink="">
      <xdr:nvSpPr>
        <xdr:cNvPr id="126095" name="Line 43">
          <a:extLst>
            <a:ext uri="{FF2B5EF4-FFF2-40B4-BE49-F238E27FC236}">
              <a16:creationId xmlns:a16="http://schemas.microsoft.com/office/drawing/2014/main" id="{A0353112-F16F-3C42-A3FA-5601EBD8DB6C}"/>
            </a:ext>
          </a:extLst>
        </xdr:cNvPr>
        <xdr:cNvSpPr>
          <a:spLocks noChangeShapeType="1"/>
        </xdr:cNvSpPr>
      </xdr:nvSpPr>
      <xdr:spPr bwMode="auto">
        <a:xfrm>
          <a:off x="4279900" y="6400800"/>
          <a:ext cx="1524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546100</xdr:colOff>
      <xdr:row>37</xdr:row>
      <xdr:rowOff>101600</xdr:rowOff>
    </xdr:from>
    <xdr:to>
      <xdr:col>8</xdr:col>
      <xdr:colOff>127000</xdr:colOff>
      <xdr:row>39</xdr:row>
      <xdr:rowOff>0</xdr:rowOff>
    </xdr:to>
    <xdr:sp macro="" textlink="">
      <xdr:nvSpPr>
        <xdr:cNvPr id="126096" name="Oval 44">
          <a:extLst>
            <a:ext uri="{FF2B5EF4-FFF2-40B4-BE49-F238E27FC236}">
              <a16:creationId xmlns:a16="http://schemas.microsoft.com/office/drawing/2014/main" id="{E4459E94-657E-2046-B66F-345B314CDA36}"/>
            </a:ext>
          </a:extLst>
        </xdr:cNvPr>
        <xdr:cNvSpPr>
          <a:spLocks noChangeArrowheads="1"/>
        </xdr:cNvSpPr>
      </xdr:nvSpPr>
      <xdr:spPr bwMode="auto">
        <a:xfrm>
          <a:off x="5257800" y="6286500"/>
          <a:ext cx="254000" cy="228600"/>
        </a:xfrm>
        <a:prstGeom prst="ellipse">
          <a:avLst/>
        </a:prstGeom>
        <a:solidFill>
          <a:srgbClr val="FFCC00"/>
        </a:solidFill>
        <a:ln w="9525">
          <a:solidFill>
            <a:srgbClr val="000000"/>
          </a:solidFill>
          <a:round/>
          <a:headEnd/>
          <a:tailEnd/>
        </a:ln>
      </xdr:spPr>
    </xdr:sp>
    <xdr:clientData/>
  </xdr:twoCellAnchor>
  <xdr:twoCellAnchor>
    <xdr:from>
      <xdr:col>7</xdr:col>
      <xdr:colOff>584200</xdr:colOff>
      <xdr:row>38</xdr:row>
      <xdr:rowOff>50800</xdr:rowOff>
    </xdr:from>
    <xdr:to>
      <xdr:col>8</xdr:col>
      <xdr:colOff>63500</xdr:colOff>
      <xdr:row>38</xdr:row>
      <xdr:rowOff>50800</xdr:rowOff>
    </xdr:to>
    <xdr:sp macro="" textlink="">
      <xdr:nvSpPr>
        <xdr:cNvPr id="126097" name="Line 45">
          <a:extLst>
            <a:ext uri="{FF2B5EF4-FFF2-40B4-BE49-F238E27FC236}">
              <a16:creationId xmlns:a16="http://schemas.microsoft.com/office/drawing/2014/main" id="{123A5F4F-A4FB-5D48-B078-3B77ACE54DAA}"/>
            </a:ext>
          </a:extLst>
        </xdr:cNvPr>
        <xdr:cNvSpPr>
          <a:spLocks noChangeShapeType="1"/>
        </xdr:cNvSpPr>
      </xdr:nvSpPr>
      <xdr:spPr bwMode="auto">
        <a:xfrm>
          <a:off x="5295900" y="6400800"/>
          <a:ext cx="152400" cy="0"/>
        </a:xfrm>
        <a:prstGeom prst="line">
          <a:avLst/>
        </a:prstGeom>
        <a:noFill/>
        <a:ln w="9525">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oneCellAnchor>
    <xdr:from>
      <xdr:col>7</xdr:col>
      <xdr:colOff>155575</xdr:colOff>
      <xdr:row>37</xdr:row>
      <xdr:rowOff>123825</xdr:rowOff>
    </xdr:from>
    <xdr:ext cx="314328" cy="170560"/>
    <xdr:sp macro="" textlink="">
      <xdr:nvSpPr>
        <xdr:cNvPr id="18478" name="Text Box 46">
          <a:extLst>
            <a:ext uri="{FF2B5EF4-FFF2-40B4-BE49-F238E27FC236}">
              <a16:creationId xmlns:a16="http://schemas.microsoft.com/office/drawing/2014/main" id="{0C5EC11E-A80F-9F48-A10E-4D19539224BF}"/>
            </a:ext>
          </a:extLst>
        </xdr:cNvPr>
        <xdr:cNvSpPr txBox="1">
          <a:spLocks noChangeArrowheads="1"/>
        </xdr:cNvSpPr>
      </xdr:nvSpPr>
      <xdr:spPr bwMode="auto">
        <a:xfrm>
          <a:off x="4410075" y="6191250"/>
          <a:ext cx="289182"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AND</a:t>
          </a:r>
        </a:p>
      </xdr:txBody>
    </xdr:sp>
    <xdr:clientData/>
  </xdr:oneCellAnchor>
  <xdr:oneCellAnchor>
    <xdr:from>
      <xdr:col>4</xdr:col>
      <xdr:colOff>508000</xdr:colOff>
      <xdr:row>37</xdr:row>
      <xdr:rowOff>152400</xdr:rowOff>
    </xdr:from>
    <xdr:ext cx="652615" cy="170560"/>
    <xdr:sp macro="" textlink="">
      <xdr:nvSpPr>
        <xdr:cNvPr id="18479" name="Text Box 47">
          <a:extLst>
            <a:ext uri="{FF2B5EF4-FFF2-40B4-BE49-F238E27FC236}">
              <a16:creationId xmlns:a16="http://schemas.microsoft.com/office/drawing/2014/main" id="{8172F4BB-E8E9-D24F-AAE0-170806C71D3F}"/>
            </a:ext>
          </a:extLst>
        </xdr:cNvPr>
        <xdr:cNvSpPr txBox="1">
          <a:spLocks noChangeArrowheads="1"/>
        </xdr:cNvSpPr>
      </xdr:nvSpPr>
      <xdr:spPr bwMode="auto">
        <a:xfrm>
          <a:off x="2895600" y="6219825"/>
          <a:ext cx="652615"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MEASURE</a:t>
          </a:r>
        </a:p>
      </xdr:txBody>
    </xdr:sp>
    <xdr:clientData/>
  </xdr:oneCellAnchor>
  <xdr:oneCellAnchor>
    <xdr:from>
      <xdr:col>8</xdr:col>
      <xdr:colOff>165100</xdr:colOff>
      <xdr:row>37</xdr:row>
      <xdr:rowOff>133350</xdr:rowOff>
    </xdr:from>
    <xdr:ext cx="1442726" cy="170560"/>
    <xdr:sp macro="" textlink="">
      <xdr:nvSpPr>
        <xdr:cNvPr id="18480" name="Text Box 48">
          <a:extLst>
            <a:ext uri="{FF2B5EF4-FFF2-40B4-BE49-F238E27FC236}">
              <a16:creationId xmlns:a16="http://schemas.microsoft.com/office/drawing/2014/main" id="{A25A74A8-1524-1545-BAE9-ACE703B1798E}"/>
            </a:ext>
          </a:extLst>
        </xdr:cNvPr>
        <xdr:cNvSpPr txBox="1">
          <a:spLocks noChangeArrowheads="1"/>
        </xdr:cNvSpPr>
      </xdr:nvSpPr>
      <xdr:spPr bwMode="auto">
        <a:xfrm>
          <a:off x="5029200" y="6200775"/>
          <a:ext cx="1407821"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0" i="0" strike="noStrike">
              <a:solidFill>
                <a:srgbClr val="000000"/>
              </a:solidFill>
              <a:latin typeface="Arial"/>
              <a:cs typeface="Arial"/>
            </a:rPr>
            <a:t>TO DETERMINE VSWR</a:t>
          </a:r>
        </a:p>
      </xdr:txBody>
    </xdr:sp>
    <xdr:clientData/>
  </xdr:oneCellAnchor>
  <xdr:twoCellAnchor>
    <xdr:from>
      <xdr:col>9</xdr:col>
      <xdr:colOff>88900</xdr:colOff>
      <xdr:row>13</xdr:row>
      <xdr:rowOff>76200</xdr:rowOff>
    </xdr:from>
    <xdr:to>
      <xdr:col>9</xdr:col>
      <xdr:colOff>660400</xdr:colOff>
      <xdr:row>13</xdr:row>
      <xdr:rowOff>76200</xdr:rowOff>
    </xdr:to>
    <xdr:sp macro="" textlink="">
      <xdr:nvSpPr>
        <xdr:cNvPr id="126101" name="Line 51">
          <a:extLst>
            <a:ext uri="{FF2B5EF4-FFF2-40B4-BE49-F238E27FC236}">
              <a16:creationId xmlns:a16="http://schemas.microsoft.com/office/drawing/2014/main" id="{E43FFA4A-900F-2548-9740-95899A94181F}"/>
            </a:ext>
          </a:extLst>
        </xdr:cNvPr>
        <xdr:cNvSpPr>
          <a:spLocks noChangeShapeType="1"/>
        </xdr:cNvSpPr>
      </xdr:nvSpPr>
      <xdr:spPr bwMode="auto">
        <a:xfrm flipH="1">
          <a:off x="6146800" y="2298700"/>
          <a:ext cx="571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292100</xdr:colOff>
      <xdr:row>6</xdr:row>
      <xdr:rowOff>152400</xdr:rowOff>
    </xdr:from>
    <xdr:to>
      <xdr:col>17</xdr:col>
      <xdr:colOff>292100</xdr:colOff>
      <xdr:row>35</xdr:row>
      <xdr:rowOff>88900</xdr:rowOff>
    </xdr:to>
    <xdr:sp macro="" textlink="">
      <xdr:nvSpPr>
        <xdr:cNvPr id="126102" name="Line 52">
          <a:extLst>
            <a:ext uri="{FF2B5EF4-FFF2-40B4-BE49-F238E27FC236}">
              <a16:creationId xmlns:a16="http://schemas.microsoft.com/office/drawing/2014/main" id="{78009FFF-B1CF-A948-9011-53A23EDD90BA}"/>
            </a:ext>
          </a:extLst>
        </xdr:cNvPr>
        <xdr:cNvSpPr>
          <a:spLocks noChangeShapeType="1"/>
        </xdr:cNvSpPr>
      </xdr:nvSpPr>
      <xdr:spPr bwMode="auto">
        <a:xfrm flipV="1">
          <a:off x="11468100" y="1219200"/>
          <a:ext cx="0" cy="472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279400</xdr:colOff>
      <xdr:row>6</xdr:row>
      <xdr:rowOff>152400</xdr:rowOff>
    </xdr:from>
    <xdr:to>
      <xdr:col>17</xdr:col>
      <xdr:colOff>304800</xdr:colOff>
      <xdr:row>6</xdr:row>
      <xdr:rowOff>152400</xdr:rowOff>
    </xdr:to>
    <xdr:sp macro="" textlink="">
      <xdr:nvSpPr>
        <xdr:cNvPr id="126103" name="Line 53">
          <a:extLst>
            <a:ext uri="{FF2B5EF4-FFF2-40B4-BE49-F238E27FC236}">
              <a16:creationId xmlns:a16="http://schemas.microsoft.com/office/drawing/2014/main" id="{9E9350CF-7B11-3E47-AC03-4ECF929C77D5}"/>
            </a:ext>
          </a:extLst>
        </xdr:cNvPr>
        <xdr:cNvSpPr>
          <a:spLocks noChangeShapeType="1"/>
        </xdr:cNvSpPr>
      </xdr:nvSpPr>
      <xdr:spPr bwMode="auto">
        <a:xfrm flipH="1" flipV="1">
          <a:off x="6337300" y="1219200"/>
          <a:ext cx="5143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76200</xdr:rowOff>
    </xdr:from>
    <xdr:to>
      <xdr:col>17</xdr:col>
      <xdr:colOff>292100</xdr:colOff>
      <xdr:row>35</xdr:row>
      <xdr:rowOff>76200</xdr:rowOff>
    </xdr:to>
    <xdr:sp macro="" textlink="">
      <xdr:nvSpPr>
        <xdr:cNvPr id="126104" name="Line 54">
          <a:extLst>
            <a:ext uri="{FF2B5EF4-FFF2-40B4-BE49-F238E27FC236}">
              <a16:creationId xmlns:a16="http://schemas.microsoft.com/office/drawing/2014/main" id="{0FCFF2F0-D94D-2F41-BB9D-3ABE391EB174}"/>
            </a:ext>
          </a:extLst>
        </xdr:cNvPr>
        <xdr:cNvSpPr>
          <a:spLocks noChangeShapeType="1"/>
        </xdr:cNvSpPr>
      </xdr:nvSpPr>
      <xdr:spPr bwMode="auto">
        <a:xfrm>
          <a:off x="11176000" y="5930900"/>
          <a:ext cx="292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12700</xdr:colOff>
      <xdr:row>6</xdr:row>
      <xdr:rowOff>152400</xdr:rowOff>
    </xdr:from>
    <xdr:to>
      <xdr:col>9</xdr:col>
      <xdr:colOff>279400</xdr:colOff>
      <xdr:row>7</xdr:row>
      <xdr:rowOff>101600</xdr:rowOff>
    </xdr:to>
    <xdr:sp macro="" textlink="">
      <xdr:nvSpPr>
        <xdr:cNvPr id="126105" name="Line 55">
          <a:extLst>
            <a:ext uri="{FF2B5EF4-FFF2-40B4-BE49-F238E27FC236}">
              <a16:creationId xmlns:a16="http://schemas.microsoft.com/office/drawing/2014/main" id="{901519FC-C2D7-0242-B3A3-86AA64F0D130}"/>
            </a:ext>
          </a:extLst>
        </xdr:cNvPr>
        <xdr:cNvSpPr>
          <a:spLocks noChangeShapeType="1"/>
        </xdr:cNvSpPr>
      </xdr:nvSpPr>
      <xdr:spPr bwMode="auto">
        <a:xfrm flipH="1">
          <a:off x="6070600" y="1219200"/>
          <a:ext cx="266700" cy="114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xdr:col>
      <xdr:colOff>174625</xdr:colOff>
      <xdr:row>27</xdr:row>
      <xdr:rowOff>152400</xdr:rowOff>
    </xdr:from>
    <xdr:ext cx="1690295" cy="170560"/>
    <xdr:sp macro="" textlink="">
      <xdr:nvSpPr>
        <xdr:cNvPr id="18488" name="Text Box 56">
          <a:extLst>
            <a:ext uri="{FF2B5EF4-FFF2-40B4-BE49-F238E27FC236}">
              <a16:creationId xmlns:a16="http://schemas.microsoft.com/office/drawing/2014/main" id="{420A8BF1-D5CE-8F44-A514-2B79A8D7538C}"/>
            </a:ext>
          </a:extLst>
        </xdr:cNvPr>
        <xdr:cNvSpPr txBox="1">
          <a:spLocks noChangeArrowheads="1"/>
        </xdr:cNvSpPr>
      </xdr:nvSpPr>
      <xdr:spPr bwMode="auto">
        <a:xfrm>
          <a:off x="3209925" y="4600575"/>
          <a:ext cx="1643014" cy="170560"/>
        </a:xfrm>
        <a:prstGeom prst="rect">
          <a:avLst/>
        </a:prstGeom>
        <a:noFill/>
        <a:ln w="9525">
          <a:noFill/>
          <a:miter lim="800000"/>
          <a:headEnd/>
          <a:tailEnd/>
        </a:ln>
      </xdr:spPr>
      <xdr:txBody>
        <a:bodyPr wrap="none" lIns="18288" tIns="22860" rIns="0" bIns="0" anchor="t" upright="1">
          <a:spAutoFit/>
        </a:bodyPr>
        <a:lstStyle/>
        <a:p>
          <a:pPr algn="l" rtl="1">
            <a:defRPr sz="1000"/>
          </a:pPr>
          <a:r>
            <a:rPr lang="en-US" sz="1000" b="1" i="0" strike="noStrike">
              <a:solidFill>
                <a:srgbClr val="000000"/>
              </a:solidFill>
              <a:latin typeface="Arial"/>
              <a:cs typeface="Arial"/>
            </a:rPr>
            <a:t>TEST CONFIGURATION #1</a:t>
          </a:r>
        </a:p>
      </xdr:txBody>
    </xdr:sp>
    <xdr:clientData/>
  </xdr:oneCellAnchor>
  <xdr:twoCellAnchor>
    <xdr:from>
      <xdr:col>15</xdr:col>
      <xdr:colOff>0</xdr:colOff>
      <xdr:row>22</xdr:row>
      <xdr:rowOff>76200</xdr:rowOff>
    </xdr:from>
    <xdr:to>
      <xdr:col>17</xdr:col>
      <xdr:colOff>292100</xdr:colOff>
      <xdr:row>22</xdr:row>
      <xdr:rowOff>76200</xdr:rowOff>
    </xdr:to>
    <xdr:sp macro="" textlink="">
      <xdr:nvSpPr>
        <xdr:cNvPr id="126107" name="Line 57">
          <a:extLst>
            <a:ext uri="{FF2B5EF4-FFF2-40B4-BE49-F238E27FC236}">
              <a16:creationId xmlns:a16="http://schemas.microsoft.com/office/drawing/2014/main" id="{7E80A5E7-3CFF-E64F-AC9D-D609A46111A4}"/>
            </a:ext>
          </a:extLst>
        </xdr:cNvPr>
        <xdr:cNvSpPr>
          <a:spLocks noChangeShapeType="1"/>
        </xdr:cNvSpPr>
      </xdr:nvSpPr>
      <xdr:spPr bwMode="auto">
        <a:xfrm>
          <a:off x="10223500" y="3784600"/>
          <a:ext cx="1244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381000</xdr:colOff>
      <xdr:row>32</xdr:row>
      <xdr:rowOff>139700</xdr:rowOff>
    </xdr:from>
    <xdr:to>
      <xdr:col>14</xdr:col>
      <xdr:colOff>635000</xdr:colOff>
      <xdr:row>34</xdr:row>
      <xdr:rowOff>38100</xdr:rowOff>
    </xdr:to>
    <xdr:sp macro="" textlink="">
      <xdr:nvSpPr>
        <xdr:cNvPr id="126108" name="Oval 60">
          <a:extLst>
            <a:ext uri="{FF2B5EF4-FFF2-40B4-BE49-F238E27FC236}">
              <a16:creationId xmlns:a16="http://schemas.microsoft.com/office/drawing/2014/main" id="{56FE1551-B1CF-2A4E-B153-AA5213DDB940}"/>
            </a:ext>
          </a:extLst>
        </xdr:cNvPr>
        <xdr:cNvSpPr>
          <a:spLocks noChangeArrowheads="1"/>
        </xdr:cNvSpPr>
      </xdr:nvSpPr>
      <xdr:spPr bwMode="auto">
        <a:xfrm>
          <a:off x="9931400" y="5499100"/>
          <a:ext cx="254000" cy="228600"/>
        </a:xfrm>
        <a:prstGeom prst="ellipse">
          <a:avLst/>
        </a:prstGeom>
        <a:solidFill>
          <a:srgbClr val="FFCC00"/>
        </a:solidFill>
        <a:ln w="9525">
          <a:solidFill>
            <a:srgbClr val="000000"/>
          </a:solidFill>
          <a:round/>
          <a:headEnd/>
          <a:tailEnd/>
        </a:ln>
      </xdr:spPr>
    </xdr:sp>
    <xdr:clientData/>
  </xdr:twoCellAnchor>
  <xdr:twoCellAnchor>
    <xdr:from>
      <xdr:col>14</xdr:col>
      <xdr:colOff>368300</xdr:colOff>
      <xdr:row>30</xdr:row>
      <xdr:rowOff>152400</xdr:rowOff>
    </xdr:from>
    <xdr:to>
      <xdr:col>14</xdr:col>
      <xdr:colOff>622300</xdr:colOff>
      <xdr:row>32</xdr:row>
      <xdr:rowOff>50800</xdr:rowOff>
    </xdr:to>
    <xdr:sp macro="" textlink="">
      <xdr:nvSpPr>
        <xdr:cNvPr id="126109" name="Oval 61">
          <a:extLst>
            <a:ext uri="{FF2B5EF4-FFF2-40B4-BE49-F238E27FC236}">
              <a16:creationId xmlns:a16="http://schemas.microsoft.com/office/drawing/2014/main" id="{F332AE86-A378-BF4D-8930-A80F8B9AB0EE}"/>
            </a:ext>
          </a:extLst>
        </xdr:cNvPr>
        <xdr:cNvSpPr>
          <a:spLocks noChangeArrowheads="1"/>
        </xdr:cNvSpPr>
      </xdr:nvSpPr>
      <xdr:spPr bwMode="auto">
        <a:xfrm>
          <a:off x="9918700" y="5181600"/>
          <a:ext cx="254000" cy="228600"/>
        </a:xfrm>
        <a:prstGeom prst="ellipse">
          <a:avLst/>
        </a:prstGeom>
        <a:solidFill>
          <a:srgbClr val="FFCC00"/>
        </a:solidFill>
        <a:ln w="9525">
          <a:solidFill>
            <a:srgbClr val="000000"/>
          </a:solidFill>
          <a:round/>
          <a:headEnd/>
          <a:tailEnd/>
        </a:ln>
      </xdr:spPr>
    </xdr:sp>
    <xdr:clientData/>
  </xdr:twoCellAnchor>
  <xdr:twoCellAnchor>
    <xdr:from>
      <xdr:col>14</xdr:col>
      <xdr:colOff>419100</xdr:colOff>
      <xdr:row>31</xdr:row>
      <xdr:rowOff>88900</xdr:rowOff>
    </xdr:from>
    <xdr:to>
      <xdr:col>14</xdr:col>
      <xdr:colOff>571500</xdr:colOff>
      <xdr:row>31</xdr:row>
      <xdr:rowOff>88900</xdr:rowOff>
    </xdr:to>
    <xdr:sp macro="" textlink="">
      <xdr:nvSpPr>
        <xdr:cNvPr id="126110" name="Line 62">
          <a:extLst>
            <a:ext uri="{FF2B5EF4-FFF2-40B4-BE49-F238E27FC236}">
              <a16:creationId xmlns:a16="http://schemas.microsoft.com/office/drawing/2014/main" id="{B4C1349D-3928-CB46-93F9-7AF7D009AA39}"/>
            </a:ext>
          </a:extLst>
        </xdr:cNvPr>
        <xdr:cNvSpPr>
          <a:spLocks noChangeShapeType="1"/>
        </xdr:cNvSpPr>
      </xdr:nvSpPr>
      <xdr:spPr bwMode="auto">
        <a:xfrm>
          <a:off x="9969500" y="5283200"/>
          <a:ext cx="1524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419100</xdr:colOff>
      <xdr:row>33</xdr:row>
      <xdr:rowOff>88900</xdr:rowOff>
    </xdr:from>
    <xdr:to>
      <xdr:col>14</xdr:col>
      <xdr:colOff>571500</xdr:colOff>
      <xdr:row>33</xdr:row>
      <xdr:rowOff>88900</xdr:rowOff>
    </xdr:to>
    <xdr:sp macro="" textlink="">
      <xdr:nvSpPr>
        <xdr:cNvPr id="126111" name="Line 63">
          <a:extLst>
            <a:ext uri="{FF2B5EF4-FFF2-40B4-BE49-F238E27FC236}">
              <a16:creationId xmlns:a16="http://schemas.microsoft.com/office/drawing/2014/main" id="{DC42C740-0297-BF49-8125-95F9F15BB08C}"/>
            </a:ext>
          </a:extLst>
        </xdr:cNvPr>
        <xdr:cNvSpPr>
          <a:spLocks noChangeShapeType="1"/>
        </xdr:cNvSpPr>
      </xdr:nvSpPr>
      <xdr:spPr bwMode="auto">
        <a:xfrm>
          <a:off x="9969500" y="5613400"/>
          <a:ext cx="152400" cy="0"/>
        </a:xfrm>
        <a:prstGeom prst="line">
          <a:avLst/>
        </a:prstGeom>
        <a:noFill/>
        <a:ln w="9525">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0</xdr:colOff>
      <xdr:row>9</xdr:row>
      <xdr:rowOff>88900</xdr:rowOff>
    </xdr:from>
    <xdr:to>
      <xdr:col>9</xdr:col>
      <xdr:colOff>660400</xdr:colOff>
      <xdr:row>9</xdr:row>
      <xdr:rowOff>88900</xdr:rowOff>
    </xdr:to>
    <xdr:sp macro="" textlink="">
      <xdr:nvSpPr>
        <xdr:cNvPr id="126112" name="Line 64">
          <a:extLst>
            <a:ext uri="{FF2B5EF4-FFF2-40B4-BE49-F238E27FC236}">
              <a16:creationId xmlns:a16="http://schemas.microsoft.com/office/drawing/2014/main" id="{FAFC195D-2CA7-2D44-8822-AB09D93C81FD}"/>
            </a:ext>
          </a:extLst>
        </xdr:cNvPr>
        <xdr:cNvSpPr>
          <a:spLocks noChangeShapeType="1"/>
        </xdr:cNvSpPr>
      </xdr:nvSpPr>
      <xdr:spPr bwMode="auto">
        <a:xfrm>
          <a:off x="6057900" y="1651000"/>
          <a:ext cx="660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12700</xdr:colOff>
      <xdr:row>11</xdr:row>
      <xdr:rowOff>76200</xdr:rowOff>
    </xdr:from>
    <xdr:to>
      <xdr:col>10</xdr:col>
      <xdr:colOff>0</xdr:colOff>
      <xdr:row>11</xdr:row>
      <xdr:rowOff>76200</xdr:rowOff>
    </xdr:to>
    <xdr:sp macro="" textlink="">
      <xdr:nvSpPr>
        <xdr:cNvPr id="126113" name="Line 65">
          <a:extLst>
            <a:ext uri="{FF2B5EF4-FFF2-40B4-BE49-F238E27FC236}">
              <a16:creationId xmlns:a16="http://schemas.microsoft.com/office/drawing/2014/main" id="{DF122DE8-6AD5-3349-B922-ABCF24C89211}"/>
            </a:ext>
          </a:extLst>
        </xdr:cNvPr>
        <xdr:cNvSpPr>
          <a:spLocks noChangeShapeType="1"/>
        </xdr:cNvSpPr>
      </xdr:nvSpPr>
      <xdr:spPr bwMode="auto">
        <a:xfrm>
          <a:off x="6070600" y="1968500"/>
          <a:ext cx="660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8" Type="http://schemas.openxmlformats.org/officeDocument/2006/relationships/comments" Target="../comments17.xml"/><Relationship Id="rId3" Type="http://schemas.openxmlformats.org/officeDocument/2006/relationships/hyperlink" Target="http://www.radio-ware.com/products/techinfo/coax.loss.htm" TargetMode="External"/><Relationship Id="rId7" Type="http://schemas.openxmlformats.org/officeDocument/2006/relationships/vmlDrawing" Target="../drawings/vmlDrawing17.vml"/><Relationship Id="rId2" Type="http://schemas.openxmlformats.org/officeDocument/2006/relationships/hyperlink" Target="http://www.ocarc.ca/coax.htm" TargetMode="External"/><Relationship Id="rId1" Type="http://schemas.openxmlformats.org/officeDocument/2006/relationships/hyperlink" Target="http://www.timesmicrowave.com/cgi-bin/calculate.pl" TargetMode="External"/><Relationship Id="rId6" Type="http://schemas.openxmlformats.org/officeDocument/2006/relationships/hyperlink" Target="http://www.advancedmicrowave.com/products/product_frame.htm" TargetMode="External"/><Relationship Id="rId5" Type="http://schemas.openxmlformats.org/officeDocument/2006/relationships/hyperlink" Target="http://www.microwaves101.com/encyclopedia/waveguide.cfm" TargetMode="External"/><Relationship Id="rId4" Type="http://schemas.openxmlformats.org/officeDocument/2006/relationships/hyperlink" Target="http://www.meteorscatter.net/cable.htm" TargetMode="Externa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P53"/>
  <sheetViews>
    <sheetView zoomScaleNormal="100" workbookViewId="0">
      <selection activeCell="F17" sqref="F17"/>
    </sheetView>
  </sheetViews>
  <sheetFormatPr baseColWidth="10" defaultColWidth="10.6640625" defaultRowHeight="13" x14ac:dyDescent="0.15"/>
  <cols>
    <col min="1" max="2" width="8.83203125" customWidth="1"/>
    <col min="3" max="3" width="7.5" customWidth="1"/>
    <col min="4" max="4" width="8.83203125" customWidth="1"/>
    <col min="5" max="5" width="16.1640625" customWidth="1"/>
    <col min="6" max="6" width="68.83203125" customWidth="1"/>
    <col min="7" max="7" width="8.83203125" customWidth="1"/>
    <col min="8" max="8" width="8.5" customWidth="1"/>
    <col min="9" max="9" width="4.5" customWidth="1"/>
    <col min="10" max="10" width="2.5" customWidth="1"/>
    <col min="11" max="256" width="8.83203125" customWidth="1"/>
  </cols>
  <sheetData>
    <row r="1" spans="1:16" ht="26" thickBot="1" x14ac:dyDescent="0.3">
      <c r="A1" s="638" t="s">
        <v>87</v>
      </c>
      <c r="B1" s="637"/>
      <c r="C1" s="638"/>
      <c r="D1" s="639"/>
      <c r="E1" s="637"/>
      <c r="F1" s="615" t="s">
        <v>376</v>
      </c>
      <c r="G1" s="616" t="s">
        <v>722</v>
      </c>
      <c r="H1" s="26"/>
      <c r="I1" s="25"/>
      <c r="J1" s="25"/>
      <c r="K1" s="25"/>
      <c r="L1" s="25"/>
      <c r="M1" s="26"/>
      <c r="N1" s="619"/>
      <c r="O1" s="121"/>
      <c r="P1" s="121"/>
    </row>
    <row r="2" spans="1:16" ht="25" x14ac:dyDescent="0.25">
      <c r="A2" s="53"/>
      <c r="B2" s="46" t="s">
        <v>270</v>
      </c>
      <c r="C2" s="54"/>
      <c r="D2" s="54"/>
      <c r="E2" s="54"/>
      <c r="F2" s="56" t="s">
        <v>1058</v>
      </c>
      <c r="G2" s="55"/>
      <c r="H2" s="45"/>
      <c r="I2" s="45"/>
      <c r="J2" s="45"/>
      <c r="K2" s="45"/>
      <c r="L2" s="45"/>
      <c r="M2" s="45"/>
      <c r="N2" s="45"/>
      <c r="O2" s="45"/>
      <c r="P2" s="45"/>
    </row>
    <row r="3" spans="1:16" ht="25" x14ac:dyDescent="0.25">
      <c r="A3" s="53"/>
      <c r="B3" s="46" t="s">
        <v>628</v>
      </c>
      <c r="C3" s="54"/>
      <c r="D3" s="54"/>
      <c r="E3" s="54"/>
      <c r="F3" s="56" t="s">
        <v>1064</v>
      </c>
      <c r="G3" s="55"/>
      <c r="H3" s="45"/>
      <c r="I3" s="45"/>
      <c r="J3" s="45"/>
      <c r="K3" s="45"/>
      <c r="L3" s="45"/>
      <c r="M3" s="45"/>
      <c r="N3" s="45"/>
      <c r="O3" s="45"/>
      <c r="P3" s="45"/>
    </row>
    <row r="4" spans="1:16" x14ac:dyDescent="0.15">
      <c r="A4" s="1" t="s">
        <v>721</v>
      </c>
      <c r="B4" s="2"/>
      <c r="C4" s="2"/>
      <c r="D4" s="2"/>
      <c r="E4" s="2"/>
      <c r="F4" s="2"/>
      <c r="G4" s="2"/>
      <c r="H4" s="2"/>
      <c r="I4" s="2"/>
      <c r="J4" s="2"/>
      <c r="K4" s="2"/>
      <c r="L4" s="2"/>
      <c r="M4" s="2"/>
      <c r="N4" s="2"/>
      <c r="O4" s="2"/>
      <c r="P4" s="2"/>
    </row>
    <row r="5" spans="1:16" x14ac:dyDescent="0.15">
      <c r="A5" s="3"/>
      <c r="B5" s="3"/>
      <c r="C5" s="3"/>
      <c r="D5" s="3"/>
      <c r="E5" s="3"/>
      <c r="F5" s="3"/>
      <c r="G5" s="620" t="s">
        <v>377</v>
      </c>
      <c r="H5" s="620"/>
      <c r="I5" s="4" t="s">
        <v>512</v>
      </c>
      <c r="J5" s="3"/>
      <c r="K5" s="3"/>
      <c r="L5" s="3"/>
      <c r="M5" s="3"/>
      <c r="N5" s="3"/>
      <c r="O5" s="3"/>
      <c r="P5" s="3"/>
    </row>
    <row r="6" spans="1:16" ht="14" thickBot="1" x14ac:dyDescent="0.2">
      <c r="A6" s="3"/>
      <c r="B6" s="613" t="s">
        <v>370</v>
      </c>
      <c r="C6" s="3"/>
      <c r="D6" s="3"/>
      <c r="E6" s="3"/>
      <c r="F6" s="3" t="s">
        <v>508</v>
      </c>
      <c r="G6" s="3"/>
      <c r="H6" s="3"/>
      <c r="I6" s="3"/>
      <c r="J6" s="3"/>
      <c r="K6" s="351" t="s">
        <v>383</v>
      </c>
      <c r="L6" s="3"/>
      <c r="M6" s="3"/>
      <c r="N6" s="3"/>
      <c r="O6" s="3"/>
      <c r="P6" s="3"/>
    </row>
    <row r="7" spans="1:16" ht="17" thickBot="1" x14ac:dyDescent="0.25">
      <c r="A7" s="3"/>
      <c r="B7" s="3"/>
      <c r="C7" s="3"/>
      <c r="D7" s="4" t="s">
        <v>624</v>
      </c>
      <c r="E7" s="3"/>
      <c r="F7" s="5" t="s">
        <v>1057</v>
      </c>
      <c r="G7" s="3"/>
      <c r="H7" s="3"/>
      <c r="I7" s="36" t="s">
        <v>530</v>
      </c>
      <c r="J7" s="3"/>
      <c r="K7" s="3" t="s">
        <v>378</v>
      </c>
      <c r="L7" s="3"/>
      <c r="M7" s="3"/>
      <c r="N7" s="3"/>
      <c r="O7" s="3"/>
      <c r="P7" s="3"/>
    </row>
    <row r="8" spans="1:16" ht="16" x14ac:dyDescent="0.2">
      <c r="A8" s="3"/>
      <c r="B8" s="3"/>
      <c r="C8" s="3"/>
      <c r="D8" s="3"/>
      <c r="E8" s="3"/>
      <c r="F8" s="6"/>
      <c r="G8" s="3"/>
      <c r="H8" s="3"/>
      <c r="I8" s="3"/>
      <c r="J8" s="3"/>
      <c r="K8" s="3"/>
      <c r="L8" s="3"/>
      <c r="M8" s="3"/>
      <c r="N8" s="3"/>
      <c r="O8" s="3"/>
      <c r="P8" s="3"/>
    </row>
    <row r="9" spans="1:16" ht="14" thickBot="1" x14ac:dyDescent="0.2">
      <c r="A9" s="3"/>
      <c r="B9" s="351" t="s">
        <v>371</v>
      </c>
      <c r="C9" s="3"/>
      <c r="D9" s="3"/>
      <c r="E9" s="3"/>
      <c r="F9" s="833" t="s">
        <v>1066</v>
      </c>
      <c r="G9" s="3"/>
      <c r="H9" s="3"/>
      <c r="I9" s="3"/>
      <c r="J9" s="3"/>
      <c r="K9" s="3"/>
      <c r="L9" s="3"/>
      <c r="M9" s="3"/>
      <c r="N9" s="3"/>
      <c r="O9" s="3"/>
      <c r="P9" s="3"/>
    </row>
    <row r="10" spans="1:16" ht="17" thickBot="1" x14ac:dyDescent="0.25">
      <c r="A10" s="3"/>
      <c r="B10" s="3"/>
      <c r="C10" s="3"/>
      <c r="D10" s="4" t="s">
        <v>1063</v>
      </c>
      <c r="E10" s="3"/>
      <c r="F10" s="5" t="s">
        <v>1057</v>
      </c>
      <c r="G10" s="3"/>
      <c r="H10" s="3"/>
      <c r="I10" s="36" t="s">
        <v>530</v>
      </c>
      <c r="J10" s="3"/>
      <c r="K10" s="833" t="s">
        <v>1062</v>
      </c>
      <c r="L10" s="3"/>
      <c r="M10" s="3"/>
      <c r="N10" s="3"/>
      <c r="O10" s="3"/>
      <c r="P10" s="3"/>
    </row>
    <row r="11" spans="1:16" ht="16" x14ac:dyDescent="0.2">
      <c r="A11" s="3"/>
      <c r="B11" s="3"/>
      <c r="C11" s="3"/>
      <c r="D11" s="3"/>
      <c r="E11" s="3"/>
      <c r="F11" s="6"/>
      <c r="G11" s="3"/>
      <c r="H11" s="3"/>
      <c r="I11" s="3"/>
      <c r="J11" s="3"/>
      <c r="K11" s="3"/>
      <c r="L11" s="3"/>
      <c r="M11" s="3"/>
      <c r="N11" s="3"/>
      <c r="O11" s="3"/>
      <c r="P11" s="3"/>
    </row>
    <row r="12" spans="1:16" ht="17" thickBot="1" x14ac:dyDescent="0.25">
      <c r="A12" s="3"/>
      <c r="B12" s="3"/>
      <c r="C12" s="3"/>
      <c r="D12" s="3"/>
      <c r="E12" s="3"/>
      <c r="F12" s="6"/>
      <c r="G12" s="3"/>
      <c r="H12" s="3"/>
      <c r="I12" s="3"/>
      <c r="J12" s="3"/>
      <c r="K12" s="3"/>
      <c r="L12" s="3"/>
      <c r="M12" s="3"/>
      <c r="N12" s="617" t="s">
        <v>512</v>
      </c>
      <c r="O12" s="18"/>
      <c r="P12" s="3"/>
    </row>
    <row r="13" spans="1:16" ht="16" x14ac:dyDescent="0.2">
      <c r="A13" s="3"/>
      <c r="B13" s="351" t="s">
        <v>372</v>
      </c>
      <c r="C13" s="3"/>
      <c r="D13" s="4" t="s">
        <v>509</v>
      </c>
      <c r="E13" s="3"/>
      <c r="F13" s="819" t="s">
        <v>1059</v>
      </c>
      <c r="G13" s="3"/>
      <c r="H13" s="3"/>
      <c r="I13" s="3"/>
      <c r="J13" s="3"/>
      <c r="K13" s="3"/>
      <c r="L13" s="3"/>
      <c r="M13" s="3"/>
      <c r="N13" s="3" t="s">
        <v>512</v>
      </c>
      <c r="O13" s="3"/>
      <c r="P13" s="3"/>
    </row>
    <row r="14" spans="1:16" ht="17" thickBot="1" x14ac:dyDescent="0.25">
      <c r="A14" s="3"/>
      <c r="B14" s="3"/>
      <c r="C14" s="3"/>
      <c r="D14" s="3"/>
      <c r="E14" s="3"/>
      <c r="F14" s="820" t="s">
        <v>314</v>
      </c>
      <c r="G14" s="3"/>
      <c r="H14" s="3"/>
      <c r="I14" s="3"/>
      <c r="J14" s="3"/>
      <c r="K14" s="3"/>
      <c r="L14" s="3"/>
      <c r="M14" s="3"/>
      <c r="N14" s="3"/>
      <c r="O14" s="3"/>
      <c r="P14" s="3"/>
    </row>
    <row r="15" spans="1:16" ht="17" thickBot="1" x14ac:dyDescent="0.25">
      <c r="A15" s="3"/>
      <c r="B15" s="3"/>
      <c r="C15" s="3"/>
      <c r="D15" s="3"/>
      <c r="E15" s="3"/>
      <c r="F15" s="6"/>
      <c r="G15" s="3"/>
      <c r="H15" s="3"/>
      <c r="I15" s="3"/>
      <c r="J15" s="3"/>
      <c r="K15" s="3"/>
      <c r="L15" s="3"/>
      <c r="M15" s="3"/>
      <c r="N15" s="3"/>
      <c r="O15" s="3"/>
      <c r="P15" s="3"/>
    </row>
    <row r="16" spans="1:16" x14ac:dyDescent="0.15">
      <c r="A16" s="3"/>
      <c r="B16" s="614" t="s">
        <v>373</v>
      </c>
      <c r="C16" s="3"/>
      <c r="D16" s="4" t="s">
        <v>626</v>
      </c>
      <c r="E16" s="3"/>
      <c r="F16" s="7" t="s">
        <v>1075</v>
      </c>
      <c r="G16" s="3"/>
      <c r="H16" s="3"/>
      <c r="I16" s="3"/>
      <c r="J16" s="3"/>
      <c r="K16" s="3"/>
      <c r="L16" s="3"/>
      <c r="M16" s="3"/>
      <c r="N16" s="3"/>
      <c r="O16" s="3"/>
      <c r="P16" s="3"/>
    </row>
    <row r="17" spans="1:16" ht="17" thickBot="1" x14ac:dyDescent="0.25">
      <c r="A17" s="3"/>
      <c r="B17" s="3"/>
      <c r="C17" s="3"/>
      <c r="D17" s="4" t="s">
        <v>625</v>
      </c>
      <c r="E17" s="3"/>
      <c r="F17" s="8" t="s">
        <v>1060</v>
      </c>
      <c r="G17" s="3"/>
      <c r="H17" s="3"/>
      <c r="I17" s="3"/>
      <c r="J17" s="3"/>
      <c r="K17" s="3"/>
      <c r="L17" s="3"/>
      <c r="M17" s="3"/>
      <c r="N17" s="3"/>
      <c r="O17" s="3"/>
      <c r="P17" s="3"/>
    </row>
    <row r="18" spans="1:16" ht="16" x14ac:dyDescent="0.2">
      <c r="A18" s="3"/>
      <c r="B18" s="3"/>
      <c r="C18" s="3"/>
      <c r="D18" s="3"/>
      <c r="E18" s="3"/>
      <c r="F18" s="6"/>
      <c r="G18" s="3"/>
      <c r="H18" s="3"/>
      <c r="I18" s="3"/>
      <c r="J18" s="3"/>
      <c r="K18" s="3"/>
      <c r="L18" s="3"/>
      <c r="M18" s="3"/>
      <c r="N18" s="3"/>
      <c r="O18" s="3"/>
      <c r="P18" s="3"/>
    </row>
    <row r="19" spans="1:16" ht="17" thickBot="1" x14ac:dyDescent="0.25">
      <c r="A19" s="3"/>
      <c r="B19" s="3"/>
      <c r="C19" s="3"/>
      <c r="D19" s="3"/>
      <c r="E19" s="3"/>
      <c r="F19" s="6"/>
      <c r="G19" s="3"/>
      <c r="H19" s="3"/>
      <c r="I19" s="3"/>
      <c r="J19" s="3"/>
      <c r="K19" s="3"/>
      <c r="L19" s="3"/>
      <c r="M19" s="3"/>
      <c r="N19" s="3"/>
      <c r="O19" s="3"/>
      <c r="P19" s="3"/>
    </row>
    <row r="20" spans="1:16" ht="17" thickBot="1" x14ac:dyDescent="0.25">
      <c r="A20" s="3"/>
      <c r="B20" s="351" t="s">
        <v>374</v>
      </c>
      <c r="C20" s="3"/>
      <c r="D20" s="4" t="s">
        <v>510</v>
      </c>
      <c r="E20" s="3"/>
      <c r="F20" s="5" t="s">
        <v>1065</v>
      </c>
      <c r="G20" s="3"/>
      <c r="H20" s="3"/>
      <c r="I20" s="36" t="s">
        <v>1061</v>
      </c>
      <c r="J20" s="3"/>
      <c r="K20" s="3" t="s">
        <v>382</v>
      </c>
      <c r="L20" s="3"/>
      <c r="M20" s="3"/>
      <c r="N20" s="3"/>
      <c r="O20" s="3"/>
      <c r="P20" s="3"/>
    </row>
    <row r="21" spans="1:16" ht="16" x14ac:dyDescent="0.2">
      <c r="A21" s="3"/>
      <c r="B21" s="3"/>
      <c r="C21" s="3"/>
      <c r="D21" s="3"/>
      <c r="E21" s="3"/>
      <c r="F21" s="6"/>
      <c r="G21" s="3"/>
      <c r="H21" s="3"/>
      <c r="I21" s="3"/>
      <c r="J21" s="3"/>
      <c r="K21" s="3"/>
      <c r="L21" s="3"/>
      <c r="M21" s="3"/>
      <c r="N21" s="3"/>
      <c r="O21" s="3"/>
      <c r="P21" s="3"/>
    </row>
    <row r="22" spans="1:16" ht="17" thickBot="1" x14ac:dyDescent="0.25">
      <c r="A22" s="3"/>
      <c r="B22" s="3"/>
      <c r="C22" s="3"/>
      <c r="D22" s="3"/>
      <c r="E22" s="3"/>
      <c r="F22" s="6"/>
      <c r="G22" s="3"/>
      <c r="H22" s="3"/>
      <c r="I22" s="3"/>
      <c r="J22" s="3"/>
      <c r="K22" s="3"/>
      <c r="L22" s="3"/>
      <c r="M22" s="3"/>
      <c r="N22" s="3"/>
      <c r="O22" s="3"/>
      <c r="P22" s="3"/>
    </row>
    <row r="23" spans="1:16" ht="17" thickBot="1" x14ac:dyDescent="0.25">
      <c r="A23" s="3"/>
      <c r="B23" s="3"/>
      <c r="C23" s="3"/>
      <c r="D23" s="4" t="s">
        <v>511</v>
      </c>
      <c r="E23" s="3"/>
      <c r="F23" s="903">
        <f ca="1">TODAY()</f>
        <v>45769</v>
      </c>
      <c r="G23" s="3" t="s">
        <v>512</v>
      </c>
      <c r="H23" s="3"/>
      <c r="I23" s="618"/>
      <c r="J23" s="3"/>
      <c r="K23" s="3" t="str">
        <f>IF(I23=TRUE, "Document Released", "Document Not Released")</f>
        <v>Document Not Released</v>
      </c>
      <c r="L23" s="3"/>
      <c r="M23" s="3"/>
      <c r="N23" s="3"/>
      <c r="O23" s="3"/>
      <c r="P23" s="3"/>
    </row>
    <row r="24" spans="1:16" x14ac:dyDescent="0.15">
      <c r="A24" s="3"/>
      <c r="B24" s="3"/>
      <c r="C24" s="3"/>
      <c r="D24" s="3"/>
      <c r="E24" s="3"/>
      <c r="F24" s="9"/>
      <c r="G24" s="3"/>
      <c r="H24" s="3"/>
      <c r="I24" s="709" t="s">
        <v>385</v>
      </c>
      <c r="J24" s="3"/>
      <c r="K24" s="3"/>
      <c r="L24" s="3"/>
      <c r="M24" s="3"/>
      <c r="N24" s="3"/>
      <c r="O24" s="3"/>
      <c r="P24" s="3"/>
    </row>
    <row r="25" spans="1:16" ht="14" thickBot="1" x14ac:dyDescent="0.2">
      <c r="A25" s="3"/>
      <c r="B25" s="351" t="s">
        <v>375</v>
      </c>
      <c r="C25" s="3"/>
      <c r="D25" s="3"/>
      <c r="E25" s="3"/>
      <c r="F25" s="9"/>
      <c r="G25" s="3"/>
      <c r="H25" s="3"/>
      <c r="I25" s="709" t="s">
        <v>384</v>
      </c>
      <c r="J25" s="3"/>
      <c r="K25" s="3"/>
      <c r="L25" s="3"/>
      <c r="M25" s="3"/>
      <c r="N25" s="3"/>
      <c r="O25" s="3"/>
      <c r="P25" s="3"/>
    </row>
    <row r="26" spans="1:16" ht="17" thickBot="1" x14ac:dyDescent="0.25">
      <c r="A26" s="3"/>
      <c r="B26" s="3"/>
      <c r="C26" s="3"/>
      <c r="D26" s="4" t="s">
        <v>633</v>
      </c>
      <c r="E26" s="3"/>
      <c r="F26" s="903">
        <v>44411</v>
      </c>
      <c r="G26" s="3"/>
      <c r="H26" s="3"/>
      <c r="I26" s="3"/>
      <c r="J26" s="527"/>
      <c r="K26" s="351" t="s">
        <v>399</v>
      </c>
      <c r="L26" s="3"/>
      <c r="M26" s="3"/>
      <c r="N26" s="3"/>
      <c r="O26" s="3"/>
      <c r="P26" s="3"/>
    </row>
    <row r="27" spans="1:16" x14ac:dyDescent="0.15">
      <c r="A27" s="3"/>
      <c r="B27" s="3"/>
      <c r="C27" s="3"/>
      <c r="D27" s="4" t="s">
        <v>627</v>
      </c>
      <c r="E27" s="3"/>
      <c r="F27" s="3"/>
      <c r="G27" s="3"/>
      <c r="H27" s="3"/>
      <c r="I27" s="3"/>
      <c r="J27" s="3"/>
      <c r="K27" s="3"/>
      <c r="L27" s="3"/>
      <c r="M27" s="3"/>
      <c r="N27" s="3"/>
      <c r="O27" s="3"/>
      <c r="P27" s="3"/>
    </row>
    <row r="28" spans="1:16" x14ac:dyDescent="0.15">
      <c r="A28" s="3"/>
      <c r="B28" s="3"/>
      <c r="C28" s="3"/>
      <c r="D28" s="3"/>
      <c r="E28" s="3"/>
      <c r="F28" s="3"/>
      <c r="G28" s="3"/>
      <c r="H28" s="3"/>
      <c r="I28" s="3"/>
      <c r="J28" s="3"/>
      <c r="K28" s="3"/>
      <c r="L28" s="3"/>
      <c r="M28" s="3"/>
      <c r="N28" s="3"/>
      <c r="O28" s="3"/>
      <c r="P28" s="3"/>
    </row>
    <row r="29" spans="1:16" x14ac:dyDescent="0.15">
      <c r="A29" s="3"/>
      <c r="B29" s="3"/>
      <c r="C29" s="3"/>
      <c r="D29" s="3"/>
      <c r="E29" s="3"/>
      <c r="F29" s="3"/>
      <c r="G29" s="3"/>
      <c r="H29" s="3"/>
      <c r="I29" s="3"/>
      <c r="J29" s="3"/>
      <c r="K29" s="3"/>
      <c r="L29" s="3"/>
      <c r="M29" s="3"/>
      <c r="N29" s="3"/>
      <c r="O29" s="3"/>
      <c r="P29" s="3"/>
    </row>
    <row r="30" spans="1:16" x14ac:dyDescent="0.15">
      <c r="A30" s="3"/>
      <c r="B30" s="3"/>
      <c r="C30" s="3"/>
      <c r="D30" s="3"/>
      <c r="E30" s="3"/>
      <c r="F30" s="3"/>
      <c r="G30" s="3"/>
      <c r="H30" s="3"/>
      <c r="I30" s="3"/>
      <c r="J30" s="3"/>
      <c r="K30" s="3"/>
      <c r="L30" s="3"/>
      <c r="M30" s="3"/>
      <c r="N30" s="3"/>
      <c r="O30" s="3"/>
      <c r="P30" s="3"/>
    </row>
    <row r="31" spans="1:16" x14ac:dyDescent="0.15">
      <c r="A31" s="3"/>
      <c r="B31" s="3"/>
      <c r="C31" s="3"/>
      <c r="D31" s="3"/>
      <c r="E31" s="3"/>
      <c r="F31" s="3"/>
      <c r="G31" s="3"/>
      <c r="H31" s="3"/>
      <c r="I31" s="3"/>
      <c r="J31" s="3"/>
      <c r="K31" s="3"/>
      <c r="L31" s="3"/>
      <c r="M31" s="3"/>
      <c r="N31" s="3"/>
      <c r="O31" s="3"/>
      <c r="P31" s="3"/>
    </row>
    <row r="32" spans="1:16" x14ac:dyDescent="0.15">
      <c r="A32" s="3"/>
      <c r="B32" s="3"/>
      <c r="C32" s="3"/>
      <c r="D32" s="3"/>
      <c r="E32" s="3"/>
      <c r="F32" s="3"/>
      <c r="G32" s="3"/>
      <c r="H32" s="3"/>
      <c r="I32" s="3"/>
      <c r="J32" s="3"/>
      <c r="K32" s="3"/>
      <c r="L32" s="3"/>
      <c r="M32" s="3"/>
      <c r="N32" s="3"/>
      <c r="O32" s="3"/>
      <c r="P32" s="3"/>
    </row>
    <row r="33" spans="1:16" x14ac:dyDescent="0.15">
      <c r="A33" s="3"/>
      <c r="B33" s="3"/>
      <c r="C33" s="3"/>
      <c r="D33" s="3"/>
      <c r="E33" s="3"/>
      <c r="F33" s="3"/>
      <c r="G33" s="3"/>
      <c r="H33" s="3"/>
      <c r="I33" s="3"/>
      <c r="J33" s="3"/>
      <c r="K33" s="3"/>
      <c r="L33" s="3"/>
      <c r="M33" s="3"/>
      <c r="N33" s="3"/>
      <c r="O33" s="3"/>
      <c r="P33" s="3"/>
    </row>
    <row r="34" spans="1:16" x14ac:dyDescent="0.15">
      <c r="A34" s="3"/>
      <c r="B34" s="3"/>
      <c r="C34" s="3"/>
      <c r="D34" s="3"/>
      <c r="E34" s="3"/>
      <c r="F34" s="3"/>
      <c r="G34" s="3"/>
      <c r="H34" s="3"/>
      <c r="I34" s="3"/>
      <c r="J34" s="3"/>
      <c r="K34" s="3"/>
      <c r="L34" s="3"/>
      <c r="M34" s="3"/>
      <c r="N34" s="3"/>
      <c r="O34" s="3"/>
      <c r="P34" s="3"/>
    </row>
    <row r="35" spans="1:16" x14ac:dyDescent="0.15">
      <c r="A35" s="3"/>
      <c r="B35" s="3"/>
      <c r="C35" s="3"/>
      <c r="D35" s="3"/>
      <c r="E35" s="3"/>
      <c r="F35" s="3"/>
      <c r="G35" s="3"/>
      <c r="H35" s="3"/>
      <c r="I35" s="3"/>
      <c r="J35" s="3"/>
      <c r="K35" s="3"/>
      <c r="L35" s="3"/>
      <c r="M35" s="3"/>
      <c r="N35" s="3"/>
      <c r="O35" s="3"/>
      <c r="P35" s="3"/>
    </row>
    <row r="36" spans="1:16" x14ac:dyDescent="0.15">
      <c r="A36" s="3"/>
      <c r="B36" s="3"/>
      <c r="C36" s="3"/>
      <c r="D36" s="3"/>
      <c r="E36" s="3"/>
      <c r="F36" s="3"/>
      <c r="G36" s="3"/>
      <c r="H36" s="3"/>
      <c r="I36" s="3"/>
      <c r="J36" s="3"/>
      <c r="K36" s="3"/>
      <c r="L36" s="3"/>
      <c r="M36" s="3"/>
      <c r="N36" s="3"/>
      <c r="O36" s="3"/>
      <c r="P36" s="3"/>
    </row>
    <row r="37" spans="1:16" x14ac:dyDescent="0.15">
      <c r="A37" s="3"/>
      <c r="B37" s="3"/>
      <c r="C37" s="3"/>
      <c r="D37" s="3"/>
      <c r="E37" s="3"/>
      <c r="F37" s="3"/>
      <c r="G37" s="3"/>
      <c r="H37" s="3"/>
      <c r="I37" s="3"/>
      <c r="J37" s="3"/>
      <c r="K37" s="3"/>
      <c r="L37" s="3"/>
      <c r="M37" s="3"/>
      <c r="N37" s="3"/>
      <c r="O37" s="3"/>
      <c r="P37" s="3"/>
    </row>
    <row r="38" spans="1:16" x14ac:dyDescent="0.15">
      <c r="A38" s="3"/>
      <c r="B38" s="3"/>
      <c r="C38" s="3"/>
      <c r="D38" s="3"/>
      <c r="E38" s="3"/>
      <c r="F38" s="3"/>
      <c r="G38" s="3"/>
      <c r="H38" s="3"/>
      <c r="I38" s="3"/>
      <c r="J38" s="3"/>
      <c r="K38" s="3"/>
      <c r="L38" s="3"/>
      <c r="M38" s="3"/>
      <c r="N38" s="3"/>
      <c r="O38" s="3"/>
      <c r="P38" s="3"/>
    </row>
    <row r="39" spans="1:16" x14ac:dyDescent="0.15">
      <c r="A39" s="3"/>
      <c r="B39" s="3"/>
      <c r="C39" s="3"/>
      <c r="D39" s="3"/>
      <c r="E39" s="3"/>
      <c r="F39" s="3"/>
      <c r="G39" s="3"/>
      <c r="H39" s="3"/>
      <c r="I39" s="3"/>
      <c r="J39" s="3"/>
      <c r="K39" s="3"/>
      <c r="L39" s="3"/>
      <c r="M39" s="3"/>
      <c r="N39" s="3"/>
      <c r="O39" s="3"/>
      <c r="P39" s="3"/>
    </row>
    <row r="40" spans="1:16" x14ac:dyDescent="0.15">
      <c r="A40" s="3"/>
      <c r="B40" s="3"/>
      <c r="C40" s="3"/>
      <c r="D40" s="3"/>
      <c r="E40" s="3"/>
      <c r="F40" s="3"/>
      <c r="G40" s="3"/>
      <c r="H40" s="3"/>
      <c r="I40" s="3"/>
      <c r="J40" s="3"/>
      <c r="K40" s="3"/>
      <c r="L40" s="3"/>
      <c r="M40" s="3"/>
      <c r="N40" s="3"/>
      <c r="O40" s="3"/>
      <c r="P40" s="3"/>
    </row>
    <row r="41" spans="1:16" x14ac:dyDescent="0.15">
      <c r="A41" s="3"/>
      <c r="B41" s="3"/>
      <c r="C41" s="3"/>
      <c r="D41" s="3"/>
      <c r="E41" s="3"/>
      <c r="F41" s="3"/>
      <c r="G41" s="3"/>
      <c r="H41" s="3"/>
      <c r="I41" s="3"/>
      <c r="J41" s="3"/>
      <c r="K41" s="3"/>
      <c r="L41" s="3"/>
      <c r="M41" s="3"/>
      <c r="N41" s="3"/>
      <c r="O41" s="3"/>
      <c r="P41" s="3"/>
    </row>
    <row r="42" spans="1:16" x14ac:dyDescent="0.15">
      <c r="A42" s="3"/>
      <c r="B42" s="3"/>
      <c r="C42" s="3"/>
      <c r="D42" s="3"/>
      <c r="E42" s="3"/>
      <c r="F42" s="3"/>
      <c r="G42" s="3"/>
      <c r="H42" s="3"/>
      <c r="I42" s="3"/>
      <c r="J42" s="3"/>
      <c r="K42" s="3"/>
      <c r="L42" s="3"/>
      <c r="M42" s="3"/>
      <c r="N42" s="3"/>
      <c r="O42" s="3"/>
      <c r="P42" s="3"/>
    </row>
    <row r="43" spans="1:16" x14ac:dyDescent="0.15">
      <c r="A43" s="3"/>
      <c r="B43" s="3"/>
      <c r="C43" s="3"/>
      <c r="D43" s="3"/>
      <c r="E43" s="3"/>
      <c r="F43" s="3"/>
      <c r="G43" s="3"/>
      <c r="H43" s="3"/>
      <c r="I43" s="3"/>
      <c r="J43" s="3"/>
      <c r="K43" s="3"/>
      <c r="L43" s="3"/>
      <c r="M43" s="3"/>
      <c r="N43" s="3"/>
      <c r="O43" s="3"/>
      <c r="P43" s="3"/>
    </row>
    <row r="44" spans="1:16" x14ac:dyDescent="0.15">
      <c r="A44" s="3"/>
      <c r="B44" s="3"/>
      <c r="C44" s="3"/>
      <c r="D44" s="3"/>
      <c r="E44" s="3"/>
      <c r="F44" s="3"/>
      <c r="G44" s="3"/>
      <c r="H44" s="3"/>
      <c r="I44" s="3"/>
      <c r="J44" s="3"/>
      <c r="K44" s="3"/>
      <c r="L44" s="3"/>
      <c r="M44" s="3"/>
      <c r="N44" s="3"/>
      <c r="O44" s="3"/>
      <c r="P44" s="3"/>
    </row>
    <row r="45" spans="1:16" x14ac:dyDescent="0.15">
      <c r="A45" s="3"/>
      <c r="B45" s="3"/>
      <c r="C45" s="3"/>
      <c r="D45" s="3"/>
      <c r="E45" s="3"/>
      <c r="F45" s="3"/>
      <c r="G45" s="3"/>
      <c r="H45" s="3"/>
      <c r="I45" s="3"/>
      <c r="J45" s="3"/>
      <c r="K45" s="3"/>
      <c r="L45" s="3"/>
      <c r="M45" s="3"/>
      <c r="N45" s="3"/>
      <c r="O45" s="3"/>
      <c r="P45" s="3"/>
    </row>
    <row r="46" spans="1:16" x14ac:dyDescent="0.15">
      <c r="A46" s="3"/>
      <c r="B46" s="3"/>
      <c r="C46" s="3"/>
      <c r="D46" s="3"/>
      <c r="E46" s="3"/>
      <c r="F46" s="3"/>
      <c r="G46" s="3"/>
      <c r="H46" s="3"/>
      <c r="I46" s="3"/>
      <c r="J46" s="3"/>
      <c r="K46" s="3"/>
      <c r="L46" s="3"/>
      <c r="M46" s="3"/>
      <c r="N46" s="3"/>
      <c r="O46" s="3"/>
      <c r="P46" s="3"/>
    </row>
    <row r="47" spans="1:16" x14ac:dyDescent="0.15">
      <c r="A47" s="3"/>
      <c r="B47" s="3"/>
      <c r="C47" s="3"/>
      <c r="D47" s="3"/>
      <c r="E47" s="3"/>
      <c r="F47" s="3"/>
      <c r="G47" s="3"/>
      <c r="H47" s="3"/>
      <c r="I47" s="3"/>
      <c r="J47" s="3"/>
      <c r="K47" s="3"/>
      <c r="L47" s="3"/>
      <c r="M47" s="3"/>
      <c r="N47" s="3"/>
      <c r="O47" s="3"/>
      <c r="P47" s="3"/>
    </row>
    <row r="48" spans="1:16" x14ac:dyDescent="0.15">
      <c r="A48" s="3"/>
      <c r="B48" s="3"/>
      <c r="C48" s="3"/>
      <c r="D48" s="3"/>
      <c r="E48" s="3"/>
      <c r="F48" s="3"/>
      <c r="G48" s="3"/>
      <c r="H48" s="3"/>
      <c r="I48" s="3"/>
      <c r="J48" s="3"/>
      <c r="K48" s="3"/>
      <c r="L48" s="3"/>
      <c r="M48" s="3"/>
      <c r="N48" s="3"/>
      <c r="O48" s="3"/>
      <c r="P48" s="3"/>
    </row>
    <row r="49" spans="1:16" x14ac:dyDescent="0.15">
      <c r="A49" s="3"/>
      <c r="B49" s="3"/>
      <c r="C49" s="3"/>
      <c r="D49" s="3"/>
      <c r="E49" s="3"/>
      <c r="F49" s="3"/>
      <c r="G49" s="3"/>
      <c r="H49" s="3"/>
      <c r="I49" s="3"/>
      <c r="J49" s="3"/>
      <c r="K49" s="3"/>
      <c r="L49" s="3"/>
      <c r="M49" s="3"/>
      <c r="N49" s="3"/>
      <c r="O49" s="3"/>
      <c r="P49" s="3"/>
    </row>
    <row r="50" spans="1:16" x14ac:dyDescent="0.15">
      <c r="A50" s="3"/>
      <c r="B50" s="3"/>
      <c r="C50" s="3"/>
      <c r="D50" s="3"/>
      <c r="E50" s="3"/>
      <c r="F50" s="3"/>
      <c r="G50" s="3"/>
      <c r="H50" s="3"/>
      <c r="I50" s="3"/>
      <c r="J50" s="3"/>
      <c r="K50" s="3"/>
      <c r="L50" s="3"/>
      <c r="M50" s="3"/>
      <c r="N50" s="3"/>
      <c r="O50" s="3"/>
      <c r="P50" s="3"/>
    </row>
    <row r="53" spans="1:16" x14ac:dyDescent="0.15">
      <c r="K53" t="s">
        <v>512</v>
      </c>
    </row>
  </sheetData>
  <phoneticPr fontId="0" type="noConversion"/>
  <conditionalFormatting sqref="I7">
    <cfRule type="cellIs" dxfId="11" priority="1" stopIfTrue="1" operator="equal">
      <formula>"X"</formula>
    </cfRule>
    <cfRule type="cellIs" dxfId="10" priority="2" stopIfTrue="1" operator="notEqual">
      <formula>"X"</formula>
    </cfRule>
  </conditionalFormatting>
  <conditionalFormatting sqref="I10 I20">
    <cfRule type="cellIs" dxfId="9" priority="3" stopIfTrue="1" operator="equal">
      <formula>"X"</formula>
    </cfRule>
    <cfRule type="cellIs" dxfId="8" priority="4" stopIfTrue="1" operator="notEqual">
      <formula>"X"</formula>
    </cfRule>
  </conditionalFormatting>
  <conditionalFormatting sqref="I23">
    <cfRule type="expression" dxfId="7" priority="5" stopIfTrue="1">
      <formula>AND($I$7="X",$I$10="X",$I$20="X")</formula>
    </cfRule>
    <cfRule type="expression" dxfId="6" priority="6" stopIfTrue="1">
      <formula>OR($I$7=" ",$I$10=" ",$I$20=" ")</formula>
    </cfRule>
  </conditionalFormatting>
  <pageMargins left="0.75" right="0.75" top="1" bottom="1" header="0.5" footer="0.5"/>
  <pageSetup paperSize="3" orientation="landscape" horizontalDpi="96" verticalDpi="96"/>
  <headerFooter alignWithMargins="0"/>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A1:S169"/>
  <sheetViews>
    <sheetView zoomScaleNormal="100" workbookViewId="0">
      <selection activeCell="M1" sqref="M1"/>
    </sheetView>
  </sheetViews>
  <sheetFormatPr baseColWidth="10" defaultColWidth="10.6640625" defaultRowHeight="13" x14ac:dyDescent="0.15"/>
  <cols>
    <col min="1" max="1" width="8.83203125" customWidth="1"/>
    <col min="2" max="2" width="10.1640625" bestFit="1" customWidth="1"/>
    <col min="3" max="3" width="11.33203125" customWidth="1"/>
    <col min="4" max="10" width="8.83203125" customWidth="1"/>
    <col min="11" max="11" width="9.6640625" customWidth="1"/>
    <col min="12" max="256" width="8.83203125" customWidth="1"/>
  </cols>
  <sheetData>
    <row r="1" spans="1:19" ht="19" thickBot="1" x14ac:dyDescent="0.25">
      <c r="A1" s="119" t="s">
        <v>401</v>
      </c>
      <c r="B1" s="121"/>
      <c r="C1" s="121"/>
      <c r="D1" s="121"/>
      <c r="E1" s="121"/>
      <c r="F1" s="121"/>
      <c r="G1" s="121"/>
      <c r="H1" s="121"/>
      <c r="I1" s="121"/>
      <c r="J1" s="675" t="str">
        <f>'Title Page'!F3</f>
        <v>3UCubed</v>
      </c>
      <c r="K1" s="121"/>
      <c r="L1" s="121"/>
      <c r="M1" s="905">
        <f ca="1">'Title Page'!F23</f>
        <v>45769</v>
      </c>
      <c r="N1" s="121"/>
      <c r="O1" s="121"/>
      <c r="P1" s="121"/>
      <c r="Q1" s="121"/>
      <c r="R1" s="121"/>
      <c r="S1" s="121"/>
    </row>
    <row r="2" spans="1:19" x14ac:dyDescent="0.15">
      <c r="A2" s="82"/>
      <c r="B2" s="664"/>
      <c r="C2" s="664"/>
      <c r="D2" s="664"/>
      <c r="E2" s="664"/>
      <c r="F2" s="664"/>
      <c r="G2" s="664"/>
      <c r="H2" s="664"/>
      <c r="I2" s="664"/>
      <c r="J2" s="664"/>
      <c r="K2" s="664"/>
      <c r="L2" s="664"/>
      <c r="M2" s="664"/>
      <c r="N2" s="664"/>
      <c r="O2" s="664"/>
      <c r="P2" s="664"/>
      <c r="Q2" s="664"/>
      <c r="R2" s="664"/>
      <c r="S2" s="82"/>
    </row>
    <row r="3" spans="1:19" x14ac:dyDescent="0.15">
      <c r="A3" s="82"/>
      <c r="B3" s="686"/>
      <c r="C3" s="664"/>
      <c r="D3" s="664"/>
      <c r="E3" s="664"/>
      <c r="F3" s="664"/>
      <c r="G3" s="664"/>
      <c r="H3" s="664"/>
      <c r="I3" s="664"/>
      <c r="J3" s="664"/>
      <c r="K3" s="664"/>
      <c r="L3" s="664"/>
      <c r="M3" s="664"/>
      <c r="N3" s="664"/>
      <c r="O3" s="664"/>
      <c r="P3" s="664"/>
      <c r="Q3" s="664"/>
      <c r="R3" s="664"/>
      <c r="S3" s="82"/>
    </row>
    <row r="4" spans="1:19" x14ac:dyDescent="0.15">
      <c r="A4" s="82"/>
      <c r="B4" s="664"/>
      <c r="C4" s="664"/>
      <c r="D4" s="664"/>
      <c r="E4" s="664"/>
      <c r="F4" s="664"/>
      <c r="G4" s="664"/>
      <c r="H4" s="664"/>
      <c r="I4" s="664"/>
      <c r="J4" s="664"/>
      <c r="K4" s="664"/>
      <c r="L4" s="664"/>
      <c r="M4" s="664"/>
      <c r="N4" s="664"/>
      <c r="O4" s="664"/>
      <c r="P4" s="664"/>
      <c r="Q4" s="664"/>
      <c r="R4" s="664"/>
      <c r="S4" s="82"/>
    </row>
    <row r="5" spans="1:19" ht="16" x14ac:dyDescent="0.2">
      <c r="A5" s="82"/>
      <c r="B5" s="660" t="s">
        <v>402</v>
      </c>
      <c r="C5" s="661"/>
      <c r="D5" s="665"/>
      <c r="E5" s="665"/>
      <c r="F5" s="665"/>
      <c r="G5" s="665"/>
      <c r="H5" s="665"/>
      <c r="I5" s="665"/>
      <c r="J5" s="665"/>
      <c r="K5" s="665"/>
      <c r="L5" s="665"/>
      <c r="M5" s="665"/>
      <c r="N5" s="665"/>
      <c r="O5" s="665"/>
      <c r="P5" s="665"/>
      <c r="Q5" s="665"/>
      <c r="R5" s="665"/>
      <c r="S5" s="82"/>
    </row>
    <row r="6" spans="1:19" x14ac:dyDescent="0.15">
      <c r="A6" s="82"/>
      <c r="B6" s="665"/>
      <c r="C6" s="665"/>
      <c r="D6" s="665"/>
      <c r="E6" s="665"/>
      <c r="F6" s="665"/>
      <c r="G6" s="665"/>
      <c r="H6" s="665"/>
      <c r="I6" s="665"/>
      <c r="J6" s="665"/>
      <c r="K6" s="665"/>
      <c r="L6" s="665"/>
      <c r="M6" s="665"/>
      <c r="N6" s="665"/>
      <c r="O6" s="665"/>
      <c r="P6" s="665"/>
      <c r="Q6" s="665"/>
      <c r="R6" s="665"/>
      <c r="S6" s="82"/>
    </row>
    <row r="7" spans="1:19" x14ac:dyDescent="0.15">
      <c r="A7" s="82"/>
      <c r="B7" s="665" t="s">
        <v>403</v>
      </c>
      <c r="C7" s="665"/>
      <c r="D7" s="665"/>
      <c r="E7" s="665"/>
      <c r="F7" s="665"/>
      <c r="G7" s="665"/>
      <c r="H7" s="665"/>
      <c r="I7" s="665"/>
      <c r="J7" s="665"/>
      <c r="K7" s="665"/>
      <c r="L7" s="665"/>
      <c r="M7" s="665"/>
      <c r="N7" s="665"/>
      <c r="O7" s="665"/>
      <c r="P7" s="665"/>
      <c r="Q7" s="665"/>
      <c r="R7" s="665"/>
      <c r="S7" s="82"/>
    </row>
    <row r="8" spans="1:19" x14ac:dyDescent="0.15">
      <c r="A8" s="82"/>
      <c r="B8" s="665" t="s">
        <v>468</v>
      </c>
      <c r="C8" s="665"/>
      <c r="D8" s="665"/>
      <c r="E8" s="665"/>
      <c r="F8" s="665"/>
      <c r="G8" s="665"/>
      <c r="H8" s="665"/>
      <c r="I8" s="665"/>
      <c r="J8" s="665"/>
      <c r="K8" s="665"/>
      <c r="L8" s="665"/>
      <c r="M8" s="665"/>
      <c r="N8" s="665"/>
      <c r="O8" s="665"/>
      <c r="P8" s="665"/>
      <c r="Q8" s="665"/>
      <c r="R8" s="665"/>
      <c r="S8" s="82"/>
    </row>
    <row r="9" spans="1:19" x14ac:dyDescent="0.15">
      <c r="A9" s="82"/>
      <c r="B9" s="665" t="s">
        <v>491</v>
      </c>
      <c r="C9" s="665"/>
      <c r="D9" s="665"/>
      <c r="E9" s="665"/>
      <c r="F9" s="665"/>
      <c r="G9" s="665"/>
      <c r="H9" s="665"/>
      <c r="I9" s="665"/>
      <c r="J9" s="665"/>
      <c r="K9" s="665"/>
      <c r="L9" s="665"/>
      <c r="M9" s="665"/>
      <c r="N9" s="665"/>
      <c r="O9" s="665"/>
      <c r="P9" s="665"/>
      <c r="Q9" s="665"/>
      <c r="R9" s="665"/>
      <c r="S9" s="82"/>
    </row>
    <row r="10" spans="1:19" x14ac:dyDescent="0.15">
      <c r="A10" s="82"/>
      <c r="B10" s="665" t="s">
        <v>492</v>
      </c>
      <c r="C10" s="665"/>
      <c r="D10" s="665"/>
      <c r="E10" s="665"/>
      <c r="F10" s="665"/>
      <c r="G10" s="665"/>
      <c r="H10" s="665"/>
      <c r="I10" s="665"/>
      <c r="J10" s="665"/>
      <c r="K10" s="665"/>
      <c r="L10" s="665"/>
      <c r="M10" s="665"/>
      <c r="N10" s="665"/>
      <c r="O10" s="665"/>
      <c r="P10" s="665"/>
      <c r="Q10" s="665"/>
      <c r="R10" s="665"/>
      <c r="S10" s="82"/>
    </row>
    <row r="11" spans="1:19" x14ac:dyDescent="0.15">
      <c r="A11" s="82"/>
      <c r="B11" s="665" t="s">
        <v>429</v>
      </c>
      <c r="C11" s="665"/>
      <c r="D11" s="665"/>
      <c r="E11" s="665"/>
      <c r="F11" s="665"/>
      <c r="G11" s="665"/>
      <c r="H11" s="665"/>
      <c r="I11" s="665"/>
      <c r="J11" s="665"/>
      <c r="K11" s="665"/>
      <c r="L11" s="665"/>
      <c r="M11" s="665"/>
      <c r="N11" s="665"/>
      <c r="O11" s="665"/>
      <c r="P11" s="665"/>
      <c r="Q11" s="665"/>
      <c r="R11" s="665"/>
      <c r="S11" s="82"/>
    </row>
    <row r="12" spans="1:19" x14ac:dyDescent="0.15">
      <c r="A12" s="82"/>
      <c r="B12" s="665"/>
      <c r="C12" s="665"/>
      <c r="D12" s="665"/>
      <c r="E12" s="665"/>
      <c r="F12" s="665"/>
      <c r="G12" s="665"/>
      <c r="H12" s="665"/>
      <c r="I12" s="665"/>
      <c r="J12" s="665"/>
      <c r="K12" s="665"/>
      <c r="L12" s="665"/>
      <c r="M12" s="665"/>
      <c r="N12" s="665"/>
      <c r="O12" s="665"/>
      <c r="P12" s="665"/>
      <c r="Q12" s="665"/>
      <c r="R12" s="665"/>
      <c r="S12" s="82"/>
    </row>
    <row r="13" spans="1:19" ht="16" x14ac:dyDescent="0.2">
      <c r="A13" s="82"/>
      <c r="B13" s="660" t="s">
        <v>404</v>
      </c>
      <c r="C13" s="662"/>
      <c r="D13" s="661"/>
      <c r="E13" s="665"/>
      <c r="F13" s="665"/>
      <c r="G13" s="665"/>
      <c r="H13" s="665"/>
      <c r="I13" s="665"/>
      <c r="J13" s="665"/>
      <c r="K13" s="665"/>
      <c r="L13" s="665"/>
      <c r="M13" s="665"/>
      <c r="N13" s="665"/>
      <c r="O13" s="665"/>
      <c r="P13" s="665"/>
      <c r="Q13" s="665"/>
      <c r="R13" s="665"/>
      <c r="S13" s="82"/>
    </row>
    <row r="14" spans="1:19" x14ac:dyDescent="0.15">
      <c r="A14" s="82"/>
      <c r="B14" s="665"/>
      <c r="C14" s="665"/>
      <c r="D14" s="665"/>
      <c r="E14" s="665"/>
      <c r="F14" s="665"/>
      <c r="G14" s="665"/>
      <c r="H14" s="665"/>
      <c r="I14" s="665"/>
      <c r="J14" s="665"/>
      <c r="K14" s="665"/>
      <c r="L14" s="665"/>
      <c r="M14" s="665"/>
      <c r="N14" s="665"/>
      <c r="O14" s="665"/>
      <c r="P14" s="665"/>
      <c r="Q14" s="665"/>
      <c r="R14" s="665"/>
      <c r="S14" s="82"/>
    </row>
    <row r="15" spans="1:19" x14ac:dyDescent="0.15">
      <c r="A15" s="82"/>
      <c r="B15" s="665"/>
      <c r="C15" s="663" t="s">
        <v>405</v>
      </c>
      <c r="D15" s="665" t="s">
        <v>455</v>
      </c>
      <c r="E15" s="665"/>
      <c r="F15" s="665"/>
      <c r="G15" s="665"/>
      <c r="H15" s="665"/>
      <c r="I15" s="665"/>
      <c r="J15" s="665"/>
      <c r="K15" s="665"/>
      <c r="L15" s="665"/>
      <c r="M15" s="665"/>
      <c r="N15" s="665"/>
      <c r="O15" s="665"/>
      <c r="P15" s="665"/>
      <c r="Q15" s="665"/>
      <c r="R15" s="665"/>
      <c r="S15" s="82"/>
    </row>
    <row r="16" spans="1:19" x14ac:dyDescent="0.15">
      <c r="A16" s="82"/>
      <c r="B16" s="82"/>
      <c r="C16" s="82" t="s">
        <v>421</v>
      </c>
      <c r="D16" s="82"/>
      <c r="E16" s="82"/>
      <c r="F16" s="82"/>
      <c r="G16" s="82"/>
      <c r="H16" s="82"/>
      <c r="I16" s="82"/>
      <c r="J16" s="82"/>
      <c r="K16" s="82"/>
      <c r="L16" s="82"/>
      <c r="M16" s="82"/>
      <c r="N16" s="82"/>
      <c r="O16" s="82"/>
      <c r="P16" s="82"/>
      <c r="Q16" s="82"/>
      <c r="R16" s="82"/>
      <c r="S16" s="82"/>
    </row>
    <row r="17" spans="1:19" x14ac:dyDescent="0.15">
      <c r="A17" s="82"/>
      <c r="B17" s="82"/>
      <c r="C17" s="82" t="s">
        <v>406</v>
      </c>
      <c r="D17" s="82"/>
      <c r="E17" s="82"/>
      <c r="F17" s="82"/>
      <c r="G17" s="82"/>
      <c r="H17" s="82"/>
      <c r="I17" s="82"/>
      <c r="J17" s="82"/>
      <c r="K17" s="82"/>
      <c r="L17" s="82"/>
      <c r="M17" s="82"/>
      <c r="N17" s="82"/>
      <c r="O17" s="82"/>
      <c r="P17" s="82"/>
      <c r="Q17" s="82"/>
      <c r="R17" s="82"/>
      <c r="S17" s="82"/>
    </row>
    <row r="18" spans="1:19" x14ac:dyDescent="0.15">
      <c r="A18" s="82"/>
      <c r="B18" s="82"/>
      <c r="C18" s="82" t="s">
        <v>420</v>
      </c>
      <c r="D18" s="82"/>
      <c r="E18" s="82"/>
      <c r="F18" s="82"/>
      <c r="G18" s="82"/>
      <c r="H18" s="82"/>
      <c r="I18" s="82"/>
      <c r="J18" s="82"/>
      <c r="K18" s="82"/>
      <c r="L18" s="82"/>
      <c r="M18" s="82"/>
      <c r="N18" s="82"/>
      <c r="O18" s="82"/>
      <c r="P18" s="82"/>
      <c r="Q18" s="82"/>
      <c r="R18" s="82"/>
      <c r="S18" s="82"/>
    </row>
    <row r="19" spans="1:19" x14ac:dyDescent="0.15">
      <c r="A19" s="82"/>
      <c r="B19" s="82"/>
      <c r="C19" s="82" t="s">
        <v>407</v>
      </c>
      <c r="D19" s="82"/>
      <c r="E19" s="82"/>
      <c r="F19" s="82"/>
      <c r="G19" s="82"/>
      <c r="H19" s="82"/>
      <c r="I19" s="82"/>
      <c r="J19" s="82"/>
      <c r="K19" s="82"/>
      <c r="L19" s="82"/>
      <c r="M19" s="82"/>
      <c r="N19" s="82"/>
      <c r="O19" s="82"/>
      <c r="P19" s="82"/>
      <c r="Q19" s="82"/>
      <c r="R19" s="82"/>
      <c r="S19" s="82"/>
    </row>
    <row r="20" spans="1:19" x14ac:dyDescent="0.15">
      <c r="A20" s="82"/>
      <c r="B20" s="82"/>
      <c r="C20" t="s">
        <v>408</v>
      </c>
      <c r="H20" s="3"/>
      <c r="I20" t="s">
        <v>409</v>
      </c>
      <c r="J20" s="334"/>
      <c r="K20" t="s">
        <v>410</v>
      </c>
      <c r="L20" s="137"/>
      <c r="M20" s="82" t="s">
        <v>411</v>
      </c>
      <c r="N20" s="82"/>
      <c r="O20" s="82"/>
      <c r="P20" s="82"/>
      <c r="Q20" s="82"/>
      <c r="R20" s="82"/>
      <c r="S20" s="82"/>
    </row>
    <row r="21" spans="1:19" x14ac:dyDescent="0.15">
      <c r="A21" s="82"/>
      <c r="B21" s="82"/>
      <c r="C21" s="82" t="s">
        <v>480</v>
      </c>
      <c r="D21" s="82"/>
      <c r="E21" s="82"/>
      <c r="F21" s="82"/>
      <c r="G21" s="82"/>
      <c r="H21" s="82"/>
      <c r="I21" s="82"/>
      <c r="J21" s="82"/>
      <c r="K21" s="82"/>
      <c r="L21" s="82"/>
      <c r="M21" s="82"/>
      <c r="N21" s="82"/>
      <c r="O21" s="82"/>
      <c r="P21" s="82"/>
      <c r="Q21" s="82"/>
      <c r="R21" s="82"/>
      <c r="S21" s="82"/>
    </row>
    <row r="22" spans="1:19" x14ac:dyDescent="0.15">
      <c r="A22" s="82"/>
      <c r="B22" s="82"/>
      <c r="C22" s="82"/>
      <c r="D22" s="82"/>
      <c r="E22" s="82"/>
      <c r="F22" s="82"/>
      <c r="G22" s="82"/>
      <c r="H22" s="82"/>
      <c r="I22" s="82"/>
      <c r="J22" s="82"/>
      <c r="K22" s="82"/>
      <c r="L22" s="82"/>
      <c r="M22" s="82"/>
      <c r="N22" s="82"/>
      <c r="O22" s="82"/>
      <c r="P22" s="82"/>
      <c r="Q22" s="82"/>
      <c r="R22" s="82"/>
      <c r="S22" s="82"/>
    </row>
    <row r="23" spans="1:19" x14ac:dyDescent="0.15">
      <c r="A23" s="82"/>
      <c r="B23" s="82"/>
      <c r="C23" s="82"/>
      <c r="D23" s="351" t="s">
        <v>868</v>
      </c>
      <c r="E23" s="82" t="s">
        <v>454</v>
      </c>
      <c r="F23" s="82"/>
      <c r="G23" s="82"/>
      <c r="H23" s="82"/>
      <c r="I23" s="82"/>
      <c r="J23" s="82"/>
      <c r="K23" s="82"/>
      <c r="L23" s="82"/>
      <c r="M23" s="82"/>
      <c r="N23" s="82"/>
      <c r="O23" s="82"/>
      <c r="P23" s="82"/>
      <c r="Q23" s="82"/>
      <c r="R23" s="82"/>
      <c r="S23" s="82"/>
    </row>
    <row r="24" spans="1:19" x14ac:dyDescent="0.15">
      <c r="A24" s="82"/>
      <c r="B24" s="82"/>
      <c r="C24" s="82"/>
      <c r="D24" s="82" t="s">
        <v>412</v>
      </c>
      <c r="E24" s="82"/>
      <c r="F24" s="82"/>
      <c r="G24" s="82"/>
      <c r="H24" s="82"/>
      <c r="I24" s="82"/>
      <c r="J24" s="82"/>
      <c r="K24" s="82"/>
      <c r="L24" s="82"/>
      <c r="M24" s="82"/>
      <c r="N24" s="82"/>
      <c r="O24" s="82"/>
      <c r="P24" s="82"/>
      <c r="Q24" s="82"/>
      <c r="R24" s="82"/>
      <c r="S24" s="82"/>
    </row>
    <row r="25" spans="1:19" x14ac:dyDescent="0.15">
      <c r="A25" s="82"/>
      <c r="B25" s="82"/>
      <c r="C25" s="82"/>
      <c r="D25" s="82" t="s">
        <v>413</v>
      </c>
      <c r="E25" s="82"/>
      <c r="F25" s="82"/>
      <c r="G25" s="82"/>
      <c r="H25" s="82"/>
      <c r="I25" s="82"/>
      <c r="J25" s="82"/>
      <c r="K25" s="82"/>
      <c r="L25" s="82"/>
      <c r="M25" s="82"/>
      <c r="N25" s="82"/>
      <c r="O25" s="82"/>
      <c r="P25" s="82"/>
      <c r="Q25" s="82"/>
      <c r="R25" s="82"/>
      <c r="S25" s="82"/>
    </row>
    <row r="26" spans="1:19" x14ac:dyDescent="0.15">
      <c r="A26" s="82"/>
      <c r="B26" s="82"/>
      <c r="C26" s="82"/>
      <c r="D26" s="82" t="s">
        <v>415</v>
      </c>
      <c r="E26" s="82"/>
      <c r="F26" s="82"/>
      <c r="G26" s="82"/>
      <c r="H26" s="82"/>
      <c r="I26" s="82"/>
      <c r="J26" s="82"/>
      <c r="K26" s="82"/>
      <c r="L26" s="82"/>
      <c r="M26" s="82"/>
      <c r="N26" s="82"/>
      <c r="O26" s="82"/>
      <c r="P26" s="82"/>
      <c r="Q26" s="82"/>
      <c r="R26" s="82"/>
      <c r="S26" s="82"/>
    </row>
    <row r="27" spans="1:19" x14ac:dyDescent="0.15">
      <c r="A27" s="82"/>
      <c r="B27" s="82"/>
      <c r="C27" s="82"/>
      <c r="D27" s="82" t="s">
        <v>414</v>
      </c>
      <c r="E27" s="82"/>
      <c r="F27" s="82"/>
      <c r="G27" s="82"/>
      <c r="H27" s="82"/>
      <c r="I27" s="82"/>
      <c r="J27" s="82"/>
      <c r="K27" s="82"/>
      <c r="L27" s="82"/>
      <c r="M27" s="82"/>
      <c r="N27" s="82"/>
      <c r="O27" s="82"/>
      <c r="P27" s="82"/>
      <c r="Q27" s="82"/>
      <c r="R27" s="82"/>
      <c r="S27" s="82"/>
    </row>
    <row r="28" spans="1:19" x14ac:dyDescent="0.15">
      <c r="A28" s="82"/>
      <c r="B28" s="82"/>
      <c r="C28" s="82"/>
      <c r="D28" s="82" t="s">
        <v>68</v>
      </c>
      <c r="E28" s="82"/>
      <c r="F28" s="82"/>
      <c r="G28" s="82"/>
      <c r="H28" s="82"/>
      <c r="I28" s="82"/>
      <c r="J28" s="82"/>
      <c r="K28" s="82"/>
      <c r="L28" s="82"/>
      <c r="M28" s="82"/>
      <c r="N28" s="82"/>
      <c r="O28" s="82"/>
      <c r="P28" s="82"/>
      <c r="Q28" s="82"/>
      <c r="R28" s="82"/>
      <c r="S28" s="82"/>
    </row>
    <row r="29" spans="1:19" x14ac:dyDescent="0.15">
      <c r="A29" s="82"/>
      <c r="B29" s="82"/>
      <c r="C29" s="82"/>
      <c r="D29" s="82" t="s">
        <v>255</v>
      </c>
      <c r="E29" s="82"/>
      <c r="F29" s="82"/>
      <c r="G29" s="82"/>
      <c r="H29" s="82"/>
      <c r="I29" s="82"/>
      <c r="J29" s="82"/>
      <c r="K29" s="82"/>
      <c r="L29" s="82"/>
      <c r="M29" s="82"/>
      <c r="N29" s="82"/>
      <c r="O29" s="82"/>
      <c r="P29" s="82"/>
      <c r="Q29" s="82"/>
      <c r="R29" s="82"/>
      <c r="S29" s="82"/>
    </row>
    <row r="30" spans="1:19" x14ac:dyDescent="0.15">
      <c r="A30" s="82"/>
      <c r="B30" s="82"/>
      <c r="C30" s="82"/>
      <c r="D30" s="82" t="s">
        <v>416</v>
      </c>
      <c r="E30" s="82"/>
      <c r="F30" s="82"/>
      <c r="G30" s="82"/>
      <c r="H30" s="82"/>
      <c r="I30" s="82"/>
      <c r="J30" s="82"/>
      <c r="K30" s="82"/>
      <c r="L30" s="82"/>
      <c r="M30" s="82"/>
      <c r="N30" s="82"/>
      <c r="O30" s="82"/>
      <c r="P30" s="82"/>
      <c r="Q30" s="82"/>
      <c r="R30" s="82"/>
      <c r="S30" s="82"/>
    </row>
    <row r="31" spans="1:19" x14ac:dyDescent="0.15">
      <c r="A31" s="82"/>
      <c r="B31" s="82"/>
      <c r="C31" s="82"/>
      <c r="D31" s="82" t="s">
        <v>54</v>
      </c>
      <c r="E31" s="82"/>
      <c r="F31" s="82"/>
      <c r="G31" s="82"/>
      <c r="H31" s="82"/>
      <c r="I31" s="82"/>
      <c r="J31" s="82"/>
      <c r="K31" s="82"/>
      <c r="L31" s="82"/>
      <c r="M31" s="82"/>
      <c r="N31" s="82"/>
      <c r="O31" s="82"/>
      <c r="P31" s="82"/>
      <c r="Q31" s="82"/>
      <c r="R31" s="82"/>
      <c r="S31" s="82"/>
    </row>
    <row r="32" spans="1:19" x14ac:dyDescent="0.15">
      <c r="A32" s="82"/>
      <c r="B32" s="82"/>
      <c r="C32" s="82"/>
      <c r="D32" s="82" t="s">
        <v>55</v>
      </c>
      <c r="E32" s="82"/>
      <c r="F32" s="82"/>
      <c r="G32" s="82"/>
      <c r="H32" s="82"/>
      <c r="I32" s="82"/>
      <c r="J32" s="82"/>
      <c r="K32" s="82"/>
      <c r="L32" s="82"/>
      <c r="M32" s="82"/>
      <c r="N32" s="82"/>
      <c r="O32" s="82"/>
      <c r="P32" s="82"/>
      <c r="Q32" s="82"/>
      <c r="R32" s="82"/>
      <c r="S32" s="82"/>
    </row>
    <row r="33" spans="1:19" x14ac:dyDescent="0.15">
      <c r="A33" s="82"/>
      <c r="B33" s="82"/>
      <c r="C33" s="82"/>
      <c r="D33" s="82" t="s">
        <v>56</v>
      </c>
      <c r="E33" s="82"/>
      <c r="F33" s="82"/>
      <c r="G33" s="82"/>
      <c r="H33" s="82"/>
      <c r="I33" s="82"/>
      <c r="J33" s="82"/>
      <c r="K33" s="82"/>
      <c r="L33" s="82"/>
      <c r="M33" s="82"/>
      <c r="N33" s="82"/>
      <c r="O33" s="82"/>
      <c r="P33" s="82"/>
      <c r="Q33" s="82"/>
      <c r="R33" s="82"/>
      <c r="S33" s="82"/>
    </row>
    <row r="34" spans="1:19" x14ac:dyDescent="0.15">
      <c r="A34" s="82"/>
      <c r="B34" s="82"/>
      <c r="C34" s="82"/>
      <c r="D34" s="82" t="s">
        <v>57</v>
      </c>
      <c r="E34" s="82"/>
      <c r="F34" s="82"/>
      <c r="G34" s="82"/>
      <c r="H34" s="82"/>
      <c r="I34" s="82"/>
      <c r="J34" s="82"/>
      <c r="K34" s="82"/>
      <c r="L34" s="82"/>
      <c r="M34" s="82"/>
      <c r="N34" s="82"/>
      <c r="O34" s="82"/>
      <c r="P34" s="82"/>
      <c r="Q34" s="82"/>
      <c r="R34" s="82"/>
      <c r="S34" s="82"/>
    </row>
    <row r="35" spans="1:19" x14ac:dyDescent="0.15">
      <c r="A35" s="82"/>
      <c r="B35" s="82"/>
      <c r="C35" s="82"/>
      <c r="D35" s="82" t="s">
        <v>58</v>
      </c>
      <c r="E35" s="82"/>
      <c r="F35" s="82"/>
      <c r="G35" s="82"/>
      <c r="H35" s="82"/>
      <c r="I35" s="82"/>
      <c r="J35" s="82"/>
      <c r="K35" s="82"/>
      <c r="L35" s="82"/>
      <c r="M35" s="82"/>
      <c r="N35" s="82"/>
      <c r="O35" s="82"/>
      <c r="P35" s="82"/>
      <c r="Q35" s="82"/>
      <c r="R35" s="82"/>
      <c r="S35" s="82"/>
    </row>
    <row r="36" spans="1:19" x14ac:dyDescent="0.15">
      <c r="A36" s="82"/>
      <c r="B36" s="82"/>
      <c r="C36" s="82"/>
      <c r="D36" s="82" t="s">
        <v>59</v>
      </c>
      <c r="E36" s="82"/>
      <c r="F36" s="82"/>
      <c r="G36" s="82"/>
      <c r="H36" s="82"/>
      <c r="I36" s="82"/>
      <c r="J36" s="82"/>
      <c r="K36" s="82"/>
      <c r="L36" s="82"/>
      <c r="M36" s="82"/>
      <c r="N36" s="82"/>
      <c r="O36" s="82"/>
      <c r="P36" s="82"/>
      <c r="Q36" s="82"/>
      <c r="R36" s="82"/>
      <c r="S36" s="82"/>
    </row>
    <row r="37" spans="1:19" x14ac:dyDescent="0.15">
      <c r="A37" s="82"/>
      <c r="B37" s="82"/>
      <c r="C37" s="82"/>
      <c r="D37" s="82"/>
      <c r="E37" s="82"/>
      <c r="F37" s="82"/>
      <c r="G37" s="82"/>
      <c r="H37" s="82"/>
      <c r="I37" s="82"/>
      <c r="J37" s="82"/>
      <c r="K37" s="82"/>
      <c r="L37" s="82"/>
      <c r="M37" s="82"/>
      <c r="N37" s="82"/>
      <c r="O37" s="82"/>
      <c r="P37" s="82"/>
      <c r="Q37" s="82"/>
      <c r="R37" s="82"/>
      <c r="S37" s="82"/>
    </row>
    <row r="38" spans="1:19" x14ac:dyDescent="0.15">
      <c r="A38" s="82"/>
      <c r="B38" s="82"/>
      <c r="D38" s="262" t="s">
        <v>418</v>
      </c>
      <c r="E38" s="82" t="s">
        <v>440</v>
      </c>
      <c r="F38" s="82"/>
      <c r="G38" s="82"/>
      <c r="H38" s="82"/>
      <c r="I38" s="82"/>
      <c r="J38" s="82"/>
      <c r="K38" s="82"/>
      <c r="L38" s="82"/>
      <c r="M38" s="82"/>
      <c r="N38" s="82"/>
      <c r="O38" s="82"/>
      <c r="P38" s="82"/>
      <c r="Q38" s="82"/>
      <c r="R38" s="82"/>
      <c r="S38" s="82"/>
    </row>
    <row r="39" spans="1:19" x14ac:dyDescent="0.15">
      <c r="A39" s="82"/>
      <c r="B39" s="82"/>
      <c r="C39" s="82"/>
      <c r="D39" s="82" t="s">
        <v>69</v>
      </c>
      <c r="E39" s="82"/>
      <c r="F39" s="82"/>
      <c r="G39" s="82"/>
      <c r="H39" s="82"/>
      <c r="I39" s="82"/>
      <c r="J39" s="82"/>
      <c r="K39" s="82"/>
      <c r="L39" s="82"/>
      <c r="M39" s="82"/>
      <c r="N39" s="82"/>
      <c r="O39" s="82"/>
      <c r="P39" s="82"/>
      <c r="Q39" s="82"/>
      <c r="R39" s="82"/>
      <c r="S39" s="82"/>
    </row>
    <row r="40" spans="1:19" x14ac:dyDescent="0.15">
      <c r="A40" s="82"/>
      <c r="B40" s="82"/>
      <c r="C40" s="82"/>
      <c r="D40" s="82" t="s">
        <v>419</v>
      </c>
      <c r="E40" s="82"/>
      <c r="F40" s="82"/>
      <c r="G40" s="82"/>
      <c r="H40" s="82"/>
      <c r="I40" s="82"/>
      <c r="J40" s="82"/>
      <c r="K40" s="82"/>
      <c r="L40" s="82"/>
      <c r="M40" s="82"/>
      <c r="N40" s="82"/>
      <c r="O40" s="82"/>
      <c r="P40" s="82"/>
      <c r="Q40" s="82"/>
      <c r="R40" s="82"/>
      <c r="S40" s="82"/>
    </row>
    <row r="41" spans="1:19" x14ac:dyDescent="0.15">
      <c r="A41" s="82"/>
      <c r="B41" s="82"/>
      <c r="C41" s="82"/>
      <c r="D41" s="82"/>
      <c r="E41" s="82"/>
      <c r="F41" s="82"/>
      <c r="G41" s="82"/>
      <c r="H41" s="82"/>
      <c r="I41" s="82"/>
      <c r="J41" s="82"/>
      <c r="K41" s="82"/>
      <c r="L41" s="82"/>
      <c r="M41" s="82"/>
      <c r="N41" s="82"/>
      <c r="O41" s="82"/>
      <c r="P41" s="82"/>
      <c r="Q41" s="82"/>
      <c r="R41" s="82"/>
      <c r="S41" s="82"/>
    </row>
    <row r="42" spans="1:19" x14ac:dyDescent="0.15">
      <c r="A42" s="82"/>
      <c r="B42" s="683"/>
      <c r="C42" s="82"/>
      <c r="D42" s="640" t="s">
        <v>418</v>
      </c>
      <c r="E42" s="82" t="s">
        <v>70</v>
      </c>
      <c r="F42" s="82"/>
      <c r="G42" s="82"/>
      <c r="H42" s="82"/>
      <c r="I42" s="82"/>
      <c r="J42" s="82"/>
      <c r="K42" s="82"/>
      <c r="L42" s="82"/>
      <c r="M42" s="82"/>
      <c r="N42" s="82"/>
      <c r="O42" s="82"/>
      <c r="P42" s="82"/>
      <c r="Q42" s="82"/>
      <c r="R42" s="82"/>
      <c r="S42" s="82"/>
    </row>
    <row r="43" spans="1:19" x14ac:dyDescent="0.15">
      <c r="A43" s="82"/>
      <c r="B43" s="82"/>
      <c r="C43" s="82"/>
      <c r="D43" s="664"/>
      <c r="E43" s="82" t="s">
        <v>71</v>
      </c>
      <c r="F43" s="82"/>
      <c r="G43" s="82"/>
      <c r="H43" s="82"/>
      <c r="I43" s="82"/>
      <c r="J43" s="82"/>
      <c r="K43" s="82"/>
      <c r="L43" s="82"/>
      <c r="M43" s="82"/>
      <c r="N43" s="82"/>
      <c r="O43" s="82"/>
      <c r="P43" s="82"/>
      <c r="Q43" s="82"/>
      <c r="R43" s="82"/>
      <c r="S43" s="82"/>
    </row>
    <row r="44" spans="1:19" x14ac:dyDescent="0.15">
      <c r="A44" s="82"/>
      <c r="B44" s="82"/>
      <c r="C44" s="82"/>
      <c r="D44" s="682"/>
      <c r="E44" s="82"/>
      <c r="F44" s="82"/>
      <c r="G44" s="82"/>
      <c r="H44" s="82"/>
      <c r="I44" s="82"/>
      <c r="J44" s="82"/>
      <c r="K44" s="82"/>
      <c r="L44" s="82"/>
      <c r="M44" s="82"/>
      <c r="N44" s="82"/>
      <c r="O44" s="82"/>
      <c r="P44" s="82"/>
      <c r="Q44" s="82"/>
      <c r="R44" s="82"/>
      <c r="S44" s="82"/>
    </row>
    <row r="45" spans="1:19" x14ac:dyDescent="0.15">
      <c r="A45" s="82"/>
      <c r="B45" s="82"/>
      <c r="C45" s="82"/>
      <c r="D45" s="684" t="s">
        <v>418</v>
      </c>
      <c r="E45" s="82" t="s">
        <v>439</v>
      </c>
      <c r="F45" s="82"/>
      <c r="G45" s="82"/>
      <c r="H45" s="82"/>
      <c r="I45" s="82"/>
      <c r="J45" s="82"/>
      <c r="K45" s="82"/>
      <c r="L45" s="82"/>
      <c r="M45" s="82"/>
      <c r="N45" s="82"/>
      <c r="O45" s="82"/>
      <c r="P45" s="82"/>
      <c r="Q45" s="82"/>
      <c r="R45" s="82"/>
      <c r="S45" s="82"/>
    </row>
    <row r="46" spans="1:19" x14ac:dyDescent="0.15">
      <c r="A46" s="82"/>
      <c r="B46" s="82"/>
      <c r="C46" s="82"/>
      <c r="D46" s="82" t="s">
        <v>422</v>
      </c>
      <c r="E46" s="82"/>
      <c r="F46" s="82"/>
      <c r="G46" s="82"/>
      <c r="H46" s="82"/>
      <c r="I46" s="82"/>
      <c r="J46" s="82"/>
      <c r="K46" s="82"/>
      <c r="L46" s="82"/>
      <c r="M46" s="82"/>
      <c r="N46" s="82"/>
      <c r="O46" s="82"/>
      <c r="P46" s="82"/>
      <c r="Q46" s="82"/>
      <c r="R46" s="82"/>
      <c r="S46" s="82"/>
    </row>
    <row r="47" spans="1:19" x14ac:dyDescent="0.15">
      <c r="A47" s="82"/>
      <c r="B47" s="82"/>
      <c r="C47" s="82"/>
      <c r="D47" s="82"/>
      <c r="E47" s="82"/>
      <c r="F47" s="82"/>
      <c r="G47" s="82"/>
      <c r="H47" s="82"/>
      <c r="I47" s="82"/>
      <c r="J47" s="82"/>
      <c r="K47" s="82"/>
      <c r="L47" s="82"/>
      <c r="M47" s="82"/>
      <c r="N47" s="82"/>
      <c r="O47" s="82"/>
      <c r="P47" s="82"/>
      <c r="Q47" s="82"/>
      <c r="R47" s="82"/>
      <c r="S47" s="82"/>
    </row>
    <row r="48" spans="1:19" x14ac:dyDescent="0.15">
      <c r="A48" s="82"/>
      <c r="B48" s="82"/>
      <c r="C48" s="82"/>
      <c r="D48" s="351" t="s">
        <v>418</v>
      </c>
      <c r="E48" s="243" t="s">
        <v>995</v>
      </c>
      <c r="F48" s="641" t="s">
        <v>418</v>
      </c>
      <c r="G48" s="82" t="s">
        <v>60</v>
      </c>
      <c r="H48" s="82"/>
      <c r="I48" s="82"/>
      <c r="J48" s="82"/>
      <c r="K48" s="82"/>
      <c r="L48" s="82"/>
      <c r="M48" s="82"/>
      <c r="N48" s="82"/>
      <c r="O48" s="82"/>
      <c r="P48" s="82"/>
      <c r="Q48" s="82"/>
      <c r="R48" s="82"/>
      <c r="S48" s="82"/>
    </row>
    <row r="49" spans="1:19" x14ac:dyDescent="0.15">
      <c r="A49" s="82"/>
      <c r="B49" s="82"/>
      <c r="C49" s="82"/>
      <c r="D49" s="82" t="s">
        <v>63</v>
      </c>
      <c r="E49" s="82"/>
      <c r="F49" s="82"/>
      <c r="G49" s="82"/>
      <c r="H49" s="82"/>
      <c r="I49" s="82"/>
      <c r="J49" s="82"/>
      <c r="K49" s="82"/>
      <c r="L49" s="82"/>
      <c r="M49" s="82"/>
      <c r="N49" s="82"/>
      <c r="O49" s="82"/>
      <c r="P49" s="82"/>
      <c r="Q49" s="82"/>
      <c r="R49" s="82"/>
      <c r="S49" s="82"/>
    </row>
    <row r="50" spans="1:19" ht="14" thickBot="1" x14ac:dyDescent="0.2">
      <c r="A50" s="82"/>
      <c r="B50" s="82"/>
      <c r="C50" s="82"/>
      <c r="D50" s="82"/>
      <c r="E50" s="82"/>
      <c r="F50" s="82"/>
      <c r="G50" s="82"/>
      <c r="H50" s="82"/>
      <c r="I50" s="82"/>
      <c r="J50" s="82"/>
      <c r="K50" s="82"/>
      <c r="L50" s="82"/>
      <c r="M50" s="82"/>
      <c r="N50" s="82"/>
      <c r="O50" s="82"/>
      <c r="P50" s="82"/>
      <c r="Q50" s="82"/>
      <c r="R50" s="82"/>
      <c r="S50" s="82"/>
    </row>
    <row r="51" spans="1:19" ht="14" thickBot="1" x14ac:dyDescent="0.2">
      <c r="A51" s="82"/>
      <c r="B51" s="82"/>
      <c r="C51" s="82"/>
      <c r="D51" s="49" t="s">
        <v>418</v>
      </c>
      <c r="E51" s="82" t="s">
        <v>436</v>
      </c>
      <c r="F51" s="82"/>
      <c r="G51" s="82"/>
      <c r="H51" s="82"/>
      <c r="I51" s="82"/>
      <c r="J51" s="82"/>
      <c r="K51" s="82"/>
      <c r="L51" s="82"/>
      <c r="M51" s="82"/>
      <c r="N51" s="82"/>
      <c r="O51" s="82"/>
      <c r="P51" s="82"/>
      <c r="Q51" s="82"/>
      <c r="R51" s="82"/>
      <c r="S51" s="82"/>
    </row>
    <row r="52" spans="1:19" x14ac:dyDescent="0.15">
      <c r="A52" s="82"/>
      <c r="B52" s="82"/>
      <c r="C52" s="82"/>
      <c r="E52" s="82"/>
      <c r="F52" s="82"/>
      <c r="G52" s="82"/>
      <c r="H52" s="82"/>
      <c r="I52" s="82"/>
      <c r="J52" s="82"/>
      <c r="K52" s="82"/>
      <c r="L52" s="82"/>
      <c r="M52" s="82"/>
      <c r="N52" s="82"/>
      <c r="O52" s="82"/>
      <c r="P52" s="82"/>
      <c r="Q52" s="82"/>
      <c r="R52" s="82"/>
      <c r="S52" s="82"/>
    </row>
    <row r="53" spans="1:19" x14ac:dyDescent="0.15">
      <c r="A53" s="82"/>
      <c r="B53" s="82"/>
      <c r="C53" s="82"/>
      <c r="D53" s="642" t="s">
        <v>530</v>
      </c>
      <c r="E53" s="243" t="s">
        <v>995</v>
      </c>
      <c r="F53" s="643" t="s">
        <v>530</v>
      </c>
      <c r="G53" s="19" t="s">
        <v>995</v>
      </c>
      <c r="H53" s="644" t="s">
        <v>530</v>
      </c>
      <c r="I53" t="s">
        <v>430</v>
      </c>
      <c r="Q53" s="82"/>
      <c r="R53" s="82"/>
      <c r="S53" s="82"/>
    </row>
    <row r="54" spans="1:19" x14ac:dyDescent="0.15">
      <c r="A54" s="82"/>
      <c r="B54" s="82"/>
      <c r="C54" s="82"/>
      <c r="D54" s="82" t="s">
        <v>423</v>
      </c>
      <c r="E54" s="82"/>
      <c r="F54" s="82"/>
      <c r="G54" s="82"/>
      <c r="H54" s="82"/>
      <c r="I54" s="82"/>
      <c r="J54" s="82"/>
      <c r="K54" s="82"/>
      <c r="L54" s="82"/>
      <c r="M54" s="82"/>
      <c r="N54" s="82"/>
      <c r="O54" s="82"/>
      <c r="P54" s="82"/>
      <c r="Q54" s="82"/>
      <c r="R54" s="82"/>
      <c r="S54" s="82"/>
    </row>
    <row r="55" spans="1:19" x14ac:dyDescent="0.15">
      <c r="A55" s="82"/>
      <c r="B55" s="82"/>
      <c r="C55" s="82"/>
      <c r="D55" s="82" t="s">
        <v>424</v>
      </c>
      <c r="E55" s="82"/>
      <c r="F55" s="82"/>
      <c r="G55" s="82"/>
      <c r="H55" s="82"/>
      <c r="I55" s="82"/>
      <c r="J55" s="82"/>
      <c r="K55" s="82"/>
      <c r="L55" s="82"/>
      <c r="M55" s="82"/>
      <c r="N55" s="82"/>
      <c r="O55" s="82"/>
      <c r="P55" s="82"/>
      <c r="Q55" s="82"/>
      <c r="R55" s="82"/>
      <c r="S55" s="82"/>
    </row>
    <row r="56" spans="1:19" x14ac:dyDescent="0.15">
      <c r="A56" s="82"/>
      <c r="B56" s="82"/>
      <c r="C56" s="82"/>
      <c r="D56" s="82" t="s">
        <v>256</v>
      </c>
      <c r="E56" s="82"/>
      <c r="F56" s="82"/>
      <c r="G56" s="82"/>
      <c r="H56" s="82"/>
      <c r="I56" s="82"/>
      <c r="J56" s="82"/>
      <c r="K56" s="82"/>
      <c r="L56" s="82"/>
      <c r="M56" s="82"/>
      <c r="N56" s="82"/>
      <c r="O56" s="82"/>
      <c r="P56" s="82"/>
      <c r="Q56" s="82"/>
      <c r="R56" s="82"/>
      <c r="S56" s="82"/>
    </row>
    <row r="57" spans="1:19" x14ac:dyDescent="0.15">
      <c r="A57" s="82"/>
      <c r="B57" s="82"/>
      <c r="C57" s="82"/>
      <c r="D57" s="82"/>
      <c r="E57" s="82"/>
      <c r="F57" s="82"/>
      <c r="G57" s="82"/>
      <c r="H57" s="82"/>
      <c r="I57" s="82"/>
      <c r="J57" s="82"/>
      <c r="K57" s="82"/>
      <c r="L57" s="82"/>
      <c r="M57" s="82"/>
      <c r="N57" s="82"/>
      <c r="O57" s="82"/>
      <c r="P57" s="82"/>
      <c r="Q57" s="82"/>
      <c r="R57" s="82"/>
      <c r="S57" s="82"/>
    </row>
    <row r="58" spans="1:19" x14ac:dyDescent="0.15">
      <c r="A58" s="82"/>
      <c r="B58" s="82"/>
      <c r="C58" s="82"/>
      <c r="D58" s="245" t="s">
        <v>425</v>
      </c>
      <c r="E58" s="246"/>
      <c r="F58" t="s">
        <v>433</v>
      </c>
      <c r="K58" s="82"/>
      <c r="L58" s="82"/>
      <c r="M58" s="82"/>
      <c r="N58" s="82"/>
      <c r="O58" s="82"/>
      <c r="P58" s="82"/>
      <c r="Q58" s="82"/>
      <c r="R58" s="82"/>
      <c r="S58" s="82"/>
    </row>
    <row r="59" spans="1:19" x14ac:dyDescent="0.15">
      <c r="A59" s="82"/>
      <c r="B59" s="82"/>
      <c r="C59" s="82"/>
      <c r="E59" s="82"/>
      <c r="F59" s="82"/>
      <c r="G59" s="82"/>
      <c r="H59" s="82"/>
      <c r="I59" s="82"/>
      <c r="J59" s="82"/>
      <c r="K59" s="82"/>
      <c r="L59" s="82"/>
      <c r="M59" s="82"/>
      <c r="N59" s="82"/>
      <c r="O59" s="82"/>
      <c r="P59" s="82"/>
      <c r="Q59" s="82"/>
      <c r="R59" s="82"/>
      <c r="S59" s="82"/>
    </row>
    <row r="60" spans="1:19" x14ac:dyDescent="0.15">
      <c r="A60" s="82"/>
      <c r="B60" s="82"/>
      <c r="C60" s="82"/>
      <c r="D60" s="685" t="s">
        <v>418</v>
      </c>
      <c r="E60" s="82" t="s">
        <v>432</v>
      </c>
      <c r="F60" s="82"/>
      <c r="G60" s="82"/>
      <c r="H60" s="82"/>
      <c r="I60" s="82"/>
      <c r="J60" s="82"/>
      <c r="K60" s="82"/>
      <c r="L60" s="82"/>
      <c r="M60" s="82"/>
      <c r="N60" s="82"/>
      <c r="O60" s="82"/>
      <c r="P60" s="82"/>
      <c r="Q60" s="82"/>
      <c r="R60" s="82"/>
      <c r="S60" s="82"/>
    </row>
    <row r="61" spans="1:19" x14ac:dyDescent="0.15">
      <c r="A61" s="82"/>
      <c r="B61" s="82"/>
      <c r="C61" s="82"/>
      <c r="D61" s="82" t="s">
        <v>426</v>
      </c>
      <c r="E61" s="82"/>
      <c r="F61" s="82"/>
      <c r="G61" s="82"/>
      <c r="H61" s="82"/>
      <c r="I61" s="82"/>
      <c r="J61" s="82"/>
      <c r="K61" s="82"/>
      <c r="L61" s="82"/>
      <c r="M61" s="82"/>
      <c r="N61" s="82"/>
      <c r="O61" s="82"/>
      <c r="P61" s="82"/>
      <c r="Q61" s="82"/>
      <c r="R61" s="82"/>
      <c r="S61" s="82"/>
    </row>
    <row r="62" spans="1:19" x14ac:dyDescent="0.15">
      <c r="A62" s="82"/>
      <c r="B62" s="82"/>
      <c r="C62" s="82"/>
      <c r="D62" s="82"/>
      <c r="E62" s="82"/>
      <c r="F62" s="82"/>
      <c r="G62" s="82"/>
      <c r="H62" s="82"/>
      <c r="I62" s="82"/>
      <c r="J62" s="82"/>
      <c r="K62" s="82"/>
      <c r="L62" s="82"/>
      <c r="M62" s="82"/>
      <c r="N62" s="82"/>
      <c r="O62" s="82"/>
      <c r="P62" s="82"/>
      <c r="Q62" s="82"/>
      <c r="R62" s="82"/>
      <c r="S62" s="82"/>
    </row>
    <row r="63" spans="1:19" x14ac:dyDescent="0.15">
      <c r="A63" s="82"/>
      <c r="B63" s="82"/>
      <c r="C63" s="82"/>
      <c r="D63" s="658" t="s">
        <v>427</v>
      </c>
      <c r="E63" s="82" t="s">
        <v>72</v>
      </c>
      <c r="F63" s="82"/>
      <c r="G63" s="82"/>
      <c r="H63" s="82"/>
      <c r="I63" s="82"/>
      <c r="J63" s="82"/>
      <c r="K63" s="82"/>
      <c r="L63" s="82"/>
      <c r="M63" s="82"/>
      <c r="N63" s="82"/>
      <c r="O63" s="82"/>
      <c r="P63" s="82"/>
      <c r="Q63" s="82"/>
      <c r="R63" s="82"/>
      <c r="S63" s="82"/>
    </row>
    <row r="64" spans="1:19" x14ac:dyDescent="0.15">
      <c r="A64" s="82"/>
      <c r="B64" s="82"/>
      <c r="C64" s="82"/>
      <c r="D64" s="82"/>
      <c r="E64" s="82"/>
      <c r="F64" s="82"/>
      <c r="G64" s="82"/>
      <c r="H64" s="82"/>
      <c r="I64" s="82"/>
      <c r="J64" s="82"/>
      <c r="K64" s="82"/>
      <c r="L64" s="82"/>
      <c r="M64" s="82"/>
      <c r="N64" s="82"/>
      <c r="O64" s="82"/>
      <c r="P64" s="82"/>
      <c r="Q64" s="82"/>
      <c r="R64" s="82"/>
      <c r="S64" s="82"/>
    </row>
    <row r="65" spans="1:19" x14ac:dyDescent="0.15">
      <c r="A65" s="82"/>
      <c r="B65" s="82"/>
      <c r="C65" s="82"/>
      <c r="D65" s="659" t="s">
        <v>428</v>
      </c>
      <c r="E65" s="477"/>
      <c r="F65" s="82" t="s">
        <v>417</v>
      </c>
      <c r="G65" s="82"/>
      <c r="H65" s="82"/>
      <c r="I65" s="82"/>
      <c r="J65" s="82"/>
      <c r="K65" s="82"/>
      <c r="L65" s="82"/>
      <c r="M65" s="82"/>
      <c r="N65" s="82"/>
      <c r="O65" s="82"/>
      <c r="P65" s="82"/>
      <c r="Q65" s="82"/>
      <c r="R65" s="82"/>
      <c r="S65" s="82"/>
    </row>
    <row r="66" spans="1:19" x14ac:dyDescent="0.15">
      <c r="A66" s="82"/>
      <c r="B66" s="82"/>
      <c r="C66" s="82"/>
      <c r="D66" s="82"/>
      <c r="E66" s="82"/>
      <c r="F66" s="82"/>
      <c r="G66" s="82"/>
      <c r="H66" s="82"/>
      <c r="I66" s="82"/>
      <c r="J66" s="82"/>
      <c r="K66" s="82"/>
      <c r="L66" s="82"/>
      <c r="M66" s="82"/>
      <c r="N66" s="82"/>
      <c r="O66" s="82"/>
      <c r="P66" s="82"/>
      <c r="Q66" s="82"/>
      <c r="R66" s="82"/>
      <c r="S66" s="82"/>
    </row>
    <row r="67" spans="1:19" x14ac:dyDescent="0.15">
      <c r="A67" s="82"/>
      <c r="B67" s="82"/>
      <c r="C67" s="82"/>
      <c r="D67" s="82"/>
      <c r="E67" s="82"/>
      <c r="F67" s="82"/>
      <c r="G67" s="82"/>
      <c r="H67" s="82"/>
      <c r="I67" s="82"/>
      <c r="J67" s="82"/>
      <c r="K67" s="82"/>
      <c r="L67" s="82"/>
      <c r="M67" s="82"/>
      <c r="N67" s="82"/>
      <c r="O67" s="82"/>
      <c r="P67" s="82"/>
      <c r="Q67" s="82"/>
      <c r="R67" s="82"/>
      <c r="S67" s="82"/>
    </row>
    <row r="68" spans="1:19" x14ac:dyDescent="0.15">
      <c r="A68" s="82"/>
      <c r="B68" s="82"/>
      <c r="C68" s="82"/>
      <c r="D68" s="82"/>
      <c r="E68" s="82"/>
      <c r="F68" s="82"/>
      <c r="G68" s="82"/>
      <c r="H68" s="82"/>
      <c r="I68" s="82"/>
      <c r="J68" s="82"/>
      <c r="K68" s="82"/>
      <c r="L68" s="82"/>
      <c r="M68" s="82"/>
      <c r="N68" s="82"/>
      <c r="O68" s="82"/>
      <c r="P68" s="82"/>
      <c r="Q68" s="82"/>
      <c r="R68" s="82"/>
      <c r="S68" s="82"/>
    </row>
    <row r="69" spans="1:19" x14ac:dyDescent="0.15">
      <c r="A69" s="82"/>
      <c r="B69" s="82"/>
      <c r="C69" s="82"/>
      <c r="D69" s="82"/>
      <c r="E69" s="82"/>
      <c r="F69" s="82"/>
      <c r="G69" s="82"/>
      <c r="H69" s="82"/>
      <c r="I69" s="82"/>
      <c r="J69" s="82"/>
      <c r="K69" s="82"/>
      <c r="L69" s="82"/>
      <c r="M69" s="82"/>
      <c r="N69" s="82"/>
      <c r="O69" s="82"/>
      <c r="P69" s="82"/>
      <c r="Q69" s="82"/>
      <c r="R69" s="82"/>
      <c r="S69" s="82"/>
    </row>
    <row r="70" spans="1:19" x14ac:dyDescent="0.15">
      <c r="A70" s="82"/>
      <c r="B70" s="82"/>
      <c r="C70" s="666" t="s">
        <v>473</v>
      </c>
      <c r="D70" s="668"/>
      <c r="E70" s="82" t="s">
        <v>895</v>
      </c>
      <c r="F70" s="82"/>
      <c r="G70" s="82"/>
      <c r="H70" s="82"/>
      <c r="I70" s="82"/>
      <c r="J70" s="82"/>
      <c r="K70" s="82"/>
      <c r="L70" s="82"/>
      <c r="M70" s="82"/>
      <c r="N70" s="82"/>
      <c r="O70" s="82"/>
      <c r="P70" s="82"/>
      <c r="Q70" s="82"/>
      <c r="R70" s="82"/>
    </row>
    <row r="71" spans="1:19" x14ac:dyDescent="0.15">
      <c r="A71" s="82"/>
      <c r="B71" s="82"/>
      <c r="C71" s="82" t="s">
        <v>258</v>
      </c>
      <c r="D71" s="82"/>
      <c r="E71" s="82"/>
      <c r="F71" s="82"/>
      <c r="G71" s="82"/>
      <c r="H71" s="82"/>
      <c r="I71" s="82"/>
      <c r="J71" s="82"/>
      <c r="K71" s="82"/>
      <c r="L71" s="82"/>
      <c r="M71" s="82"/>
      <c r="N71" s="82"/>
      <c r="O71" s="82"/>
      <c r="P71" s="82"/>
      <c r="Q71" s="82"/>
      <c r="R71" s="82"/>
    </row>
    <row r="72" spans="1:19" x14ac:dyDescent="0.15">
      <c r="A72" s="82"/>
      <c r="B72" s="82"/>
      <c r="C72" s="82" t="s">
        <v>431</v>
      </c>
      <c r="D72" s="82"/>
      <c r="E72" s="82"/>
      <c r="F72" s="82"/>
      <c r="G72" s="82"/>
      <c r="H72" s="82"/>
      <c r="I72" s="82"/>
      <c r="J72" s="82"/>
      <c r="K72" s="82"/>
      <c r="L72" s="82"/>
      <c r="M72" s="82"/>
      <c r="N72" s="82"/>
      <c r="O72" s="82"/>
      <c r="P72" s="82"/>
      <c r="Q72" s="82"/>
      <c r="R72" s="82"/>
    </row>
    <row r="73" spans="1:19" x14ac:dyDescent="0.15">
      <c r="A73" s="82"/>
      <c r="B73" s="82"/>
      <c r="C73" s="82"/>
      <c r="D73" s="82"/>
      <c r="E73" s="82"/>
      <c r="F73" s="82"/>
      <c r="G73" s="82"/>
      <c r="H73" s="82"/>
      <c r="I73" s="82"/>
      <c r="J73" s="82"/>
      <c r="K73" s="82"/>
      <c r="L73" s="82"/>
      <c r="M73" s="82"/>
      <c r="N73" s="82"/>
      <c r="O73" s="82"/>
      <c r="P73" s="82"/>
      <c r="Q73" s="82"/>
      <c r="R73" s="82"/>
    </row>
    <row r="74" spans="1:19" x14ac:dyDescent="0.15">
      <c r="A74" s="82"/>
      <c r="B74" s="82"/>
      <c r="C74" s="82" t="s">
        <v>471</v>
      </c>
      <c r="D74" s="82"/>
      <c r="E74" s="82"/>
      <c r="F74" s="82"/>
      <c r="G74" s="82"/>
      <c r="H74" s="82"/>
      <c r="I74" s="82"/>
      <c r="J74" s="82"/>
      <c r="K74" s="82"/>
      <c r="L74" s="82"/>
      <c r="M74" s="82"/>
      <c r="N74" s="82"/>
      <c r="O74" s="82"/>
      <c r="P74" s="82"/>
      <c r="Q74" s="82"/>
      <c r="R74" s="82"/>
    </row>
    <row r="75" spans="1:19" x14ac:dyDescent="0.15">
      <c r="A75" s="82"/>
      <c r="B75" s="82"/>
      <c r="C75" s="82" t="s">
        <v>77</v>
      </c>
      <c r="D75" s="82"/>
      <c r="E75" s="82"/>
      <c r="F75" s="82"/>
      <c r="G75" s="82"/>
      <c r="H75" s="82"/>
      <c r="I75" s="82"/>
      <c r="J75" s="82"/>
      <c r="K75" s="82"/>
      <c r="L75" s="82"/>
      <c r="M75" s="82"/>
      <c r="N75" s="82"/>
      <c r="O75" s="82"/>
      <c r="P75" s="82"/>
      <c r="Q75" s="82"/>
      <c r="R75" s="82"/>
    </row>
    <row r="76" spans="1:19" x14ac:dyDescent="0.15">
      <c r="A76" s="82"/>
      <c r="B76" s="82"/>
      <c r="C76" s="82" t="s">
        <v>261</v>
      </c>
      <c r="D76" s="82"/>
      <c r="E76" s="82"/>
      <c r="F76" s="82"/>
      <c r="G76" s="82"/>
      <c r="H76" s="82"/>
      <c r="I76" s="82"/>
      <c r="J76" s="82"/>
      <c r="K76" s="82"/>
      <c r="L76" s="82"/>
      <c r="M76" s="82"/>
      <c r="N76" s="82"/>
      <c r="O76" s="82"/>
      <c r="P76" s="82"/>
      <c r="Q76" s="82"/>
      <c r="R76" s="82"/>
    </row>
    <row r="77" spans="1:19" x14ac:dyDescent="0.15">
      <c r="A77" s="82"/>
      <c r="B77" s="82"/>
      <c r="C77" s="82" t="s">
        <v>78</v>
      </c>
      <c r="D77" s="82"/>
      <c r="E77" s="82"/>
      <c r="F77" s="82"/>
      <c r="G77" s="82"/>
      <c r="H77" s="82"/>
      <c r="I77" s="82"/>
      <c r="J77" s="82"/>
      <c r="K77" s="82"/>
      <c r="L77" s="82"/>
      <c r="M77" s="82"/>
      <c r="N77" s="82"/>
      <c r="O77" s="82"/>
      <c r="P77" s="82"/>
      <c r="Q77" s="82"/>
      <c r="R77" s="82"/>
    </row>
    <row r="78" spans="1:19" x14ac:dyDescent="0.15">
      <c r="A78" s="82"/>
      <c r="B78" s="82"/>
      <c r="C78" s="82" t="s">
        <v>79</v>
      </c>
      <c r="D78" s="82"/>
      <c r="E78" s="82"/>
      <c r="F78" s="82"/>
      <c r="G78" s="82"/>
      <c r="H78" s="82"/>
      <c r="I78" s="82"/>
      <c r="J78" s="82"/>
      <c r="K78" s="82"/>
      <c r="L78" s="82"/>
      <c r="M78" s="82"/>
      <c r="N78" s="82"/>
      <c r="O78" s="82"/>
      <c r="P78" s="82"/>
      <c r="Q78" s="82"/>
      <c r="R78" s="82"/>
    </row>
    <row r="79" spans="1:19" x14ac:dyDescent="0.15">
      <c r="A79" s="82"/>
      <c r="B79" s="82"/>
      <c r="C79" s="82" t="s">
        <v>80</v>
      </c>
      <c r="D79" s="82"/>
      <c r="E79" s="82"/>
      <c r="F79" s="82"/>
      <c r="G79" s="82"/>
      <c r="H79" s="82"/>
      <c r="I79" s="82"/>
      <c r="J79" s="82"/>
      <c r="K79" s="82"/>
      <c r="L79" s="82"/>
      <c r="M79" s="82"/>
      <c r="N79" s="82"/>
      <c r="O79" s="82"/>
      <c r="P79" s="82"/>
      <c r="Q79" s="82"/>
      <c r="R79" s="82"/>
    </row>
    <row r="80" spans="1:19" x14ac:dyDescent="0.15">
      <c r="A80" s="82"/>
      <c r="B80" s="82"/>
      <c r="C80" s="82" t="s">
        <v>512</v>
      </c>
      <c r="D80" s="82"/>
      <c r="E80" s="82"/>
      <c r="F80" s="82"/>
      <c r="G80" s="82"/>
      <c r="H80" s="82"/>
      <c r="I80" s="82"/>
      <c r="J80" s="82"/>
      <c r="K80" s="82"/>
      <c r="L80" s="82"/>
      <c r="M80" s="82"/>
      <c r="N80" s="82"/>
      <c r="O80" s="82"/>
      <c r="P80" s="82"/>
      <c r="Q80" s="82"/>
      <c r="R80" s="82"/>
    </row>
    <row r="81" spans="1:18" x14ac:dyDescent="0.15">
      <c r="A81" s="82"/>
      <c r="B81" s="82"/>
      <c r="C81" s="82"/>
      <c r="D81" s="82"/>
      <c r="E81" s="82"/>
      <c r="F81" s="82"/>
      <c r="G81" s="82"/>
      <c r="H81" s="82"/>
      <c r="I81" s="82"/>
      <c r="J81" s="82"/>
      <c r="K81" s="82"/>
      <c r="L81" s="82"/>
      <c r="M81" s="82"/>
      <c r="N81" s="82"/>
      <c r="O81" s="82"/>
      <c r="P81" s="82"/>
      <c r="Q81" s="82"/>
      <c r="R81" s="82"/>
    </row>
    <row r="82" spans="1:18" x14ac:dyDescent="0.15">
      <c r="A82" s="82"/>
      <c r="B82" s="82"/>
      <c r="C82" s="82"/>
      <c r="D82" s="82"/>
      <c r="E82" s="82"/>
      <c r="F82" s="82"/>
      <c r="G82" s="82"/>
      <c r="H82" s="82"/>
      <c r="I82" s="82"/>
      <c r="J82" s="82"/>
      <c r="K82" s="82"/>
      <c r="L82" s="82"/>
      <c r="M82" s="82"/>
      <c r="N82" s="82"/>
      <c r="O82" s="82"/>
      <c r="P82" s="82"/>
      <c r="Q82" s="82"/>
      <c r="R82" s="82"/>
    </row>
    <row r="83" spans="1:18" x14ac:dyDescent="0.15">
      <c r="A83" s="82"/>
      <c r="B83" s="82"/>
      <c r="C83" s="666" t="s">
        <v>472</v>
      </c>
      <c r="D83" s="667"/>
      <c r="E83" s="668"/>
      <c r="F83" s="82" t="s">
        <v>470</v>
      </c>
      <c r="G83" s="82"/>
      <c r="H83" s="82"/>
      <c r="I83" s="82"/>
      <c r="J83" s="82"/>
      <c r="K83" s="82"/>
      <c r="L83" s="82"/>
      <c r="M83" s="82"/>
      <c r="N83" s="82"/>
      <c r="O83" s="82"/>
      <c r="P83" s="82"/>
      <c r="Q83" s="82"/>
      <c r="R83" s="82"/>
    </row>
    <row r="84" spans="1:18" x14ac:dyDescent="0.15">
      <c r="A84" s="82"/>
      <c r="B84" s="82"/>
      <c r="C84" s="82" t="s">
        <v>262</v>
      </c>
      <c r="D84" s="82"/>
      <c r="E84" s="82"/>
      <c r="F84" s="82"/>
      <c r="G84" s="82"/>
      <c r="H84" s="82"/>
      <c r="I84" s="82"/>
      <c r="J84" s="82"/>
      <c r="K84" s="82"/>
      <c r="L84" s="82"/>
      <c r="M84" s="82"/>
      <c r="N84" s="82"/>
      <c r="O84" s="82"/>
      <c r="P84" s="82"/>
      <c r="Q84" s="82"/>
      <c r="R84" s="82"/>
    </row>
    <row r="85" spans="1:18" x14ac:dyDescent="0.15">
      <c r="A85" s="82"/>
      <c r="B85" s="82"/>
      <c r="C85" s="82" t="s">
        <v>469</v>
      </c>
      <c r="D85" s="82"/>
      <c r="E85" s="82"/>
      <c r="F85" s="82"/>
      <c r="G85" s="82"/>
      <c r="H85" s="82"/>
      <c r="I85" s="82"/>
      <c r="J85" s="82"/>
      <c r="K85" s="82"/>
      <c r="L85" s="82"/>
      <c r="M85" s="82"/>
      <c r="N85" s="82"/>
      <c r="O85" s="82"/>
      <c r="P85" s="82"/>
      <c r="Q85" s="82"/>
      <c r="R85" s="82"/>
    </row>
    <row r="86" spans="1:18" x14ac:dyDescent="0.15">
      <c r="A86" s="82"/>
      <c r="B86" s="82"/>
      <c r="C86" s="82" t="s">
        <v>474</v>
      </c>
      <c r="D86" s="82"/>
      <c r="E86" s="82"/>
      <c r="F86" s="82"/>
      <c r="G86" s="82"/>
      <c r="H86" s="82"/>
      <c r="I86" s="82"/>
      <c r="J86" s="82"/>
      <c r="K86" s="82"/>
      <c r="L86" s="82"/>
      <c r="M86" s="82"/>
      <c r="N86" s="82"/>
      <c r="O86" s="82"/>
      <c r="P86" s="82"/>
      <c r="Q86" s="82"/>
      <c r="R86" s="82"/>
    </row>
    <row r="87" spans="1:18" x14ac:dyDescent="0.15">
      <c r="A87" s="82"/>
      <c r="B87" s="82"/>
      <c r="C87" s="82" t="s">
        <v>9</v>
      </c>
      <c r="D87" s="82"/>
      <c r="E87" s="82"/>
      <c r="F87" s="82"/>
      <c r="G87" s="82"/>
      <c r="H87" s="82"/>
      <c r="I87" s="82"/>
      <c r="J87" s="82"/>
      <c r="K87" s="82"/>
      <c r="L87" s="82"/>
      <c r="M87" s="82"/>
      <c r="N87" s="82"/>
      <c r="O87" s="82"/>
      <c r="P87" s="82"/>
      <c r="Q87" s="82"/>
      <c r="R87" s="82"/>
    </row>
    <row r="88" spans="1:18" x14ac:dyDescent="0.15">
      <c r="A88" s="82"/>
      <c r="B88" s="82"/>
      <c r="C88" s="82" t="s">
        <v>82</v>
      </c>
      <c r="D88" s="82"/>
      <c r="E88" s="82"/>
      <c r="F88" s="82"/>
      <c r="G88" s="82"/>
      <c r="H88" s="82"/>
      <c r="I88" s="82"/>
      <c r="J88" s="82"/>
      <c r="K88" s="82"/>
      <c r="L88" s="82"/>
      <c r="M88" s="82"/>
      <c r="N88" s="82"/>
      <c r="O88" s="82"/>
      <c r="P88" s="82"/>
      <c r="Q88" s="82"/>
      <c r="R88" s="82"/>
    </row>
    <row r="89" spans="1:18" x14ac:dyDescent="0.15">
      <c r="A89" s="82"/>
      <c r="B89" s="82"/>
      <c r="C89" s="82" t="s">
        <v>81</v>
      </c>
      <c r="D89" s="82"/>
      <c r="E89" s="82"/>
      <c r="F89" s="82"/>
      <c r="G89" s="82"/>
      <c r="H89" s="82"/>
      <c r="I89" s="82"/>
      <c r="J89" s="82"/>
      <c r="K89" s="82"/>
      <c r="L89" s="82"/>
      <c r="M89" s="82"/>
      <c r="N89" s="82"/>
      <c r="O89" s="82"/>
      <c r="P89" s="82"/>
      <c r="Q89" s="82"/>
      <c r="R89" s="82"/>
    </row>
    <row r="90" spans="1:18" x14ac:dyDescent="0.15">
      <c r="A90" s="82"/>
      <c r="B90" s="82"/>
      <c r="C90" s="82"/>
      <c r="D90" s="82"/>
      <c r="E90" s="82"/>
      <c r="F90" s="82"/>
      <c r="G90" s="82"/>
      <c r="H90" s="82"/>
      <c r="I90" s="82"/>
      <c r="J90" s="82"/>
      <c r="K90" s="82"/>
      <c r="L90" s="82"/>
      <c r="M90" s="82"/>
      <c r="N90" s="82"/>
      <c r="O90" s="82"/>
      <c r="P90" s="82"/>
      <c r="Q90" s="82"/>
      <c r="R90" s="82"/>
    </row>
    <row r="91" spans="1:18" x14ac:dyDescent="0.15">
      <c r="A91" s="82"/>
      <c r="B91" s="82"/>
      <c r="C91" s="82" t="s">
        <v>479</v>
      </c>
      <c r="D91" s="82"/>
      <c r="E91" s="82"/>
      <c r="F91" s="82"/>
      <c r="G91" s="82"/>
      <c r="H91" s="82"/>
      <c r="I91" s="82"/>
      <c r="J91" s="82"/>
      <c r="K91" s="82"/>
      <c r="L91" s="82"/>
      <c r="M91" s="82"/>
      <c r="N91" s="82"/>
      <c r="O91" s="82"/>
      <c r="P91" s="82"/>
      <c r="Q91" s="82"/>
      <c r="R91" s="82"/>
    </row>
    <row r="92" spans="1:18" x14ac:dyDescent="0.15">
      <c r="A92" s="82"/>
      <c r="B92" s="82"/>
      <c r="C92" s="82" t="s">
        <v>476</v>
      </c>
      <c r="D92" s="82"/>
      <c r="E92" s="82"/>
      <c r="F92" s="82"/>
      <c r="G92" s="82"/>
      <c r="H92" s="82"/>
      <c r="I92" s="82"/>
      <c r="J92" s="82"/>
      <c r="K92" s="82"/>
      <c r="L92" s="82"/>
      <c r="M92" s="82"/>
      <c r="N92" s="82"/>
      <c r="O92" s="82"/>
      <c r="P92" s="82"/>
      <c r="Q92" s="82"/>
      <c r="R92" s="82"/>
    </row>
    <row r="93" spans="1:18" x14ac:dyDescent="0.15">
      <c r="A93" s="82"/>
      <c r="B93" s="82"/>
      <c r="C93" s="82" t="s">
        <v>478</v>
      </c>
      <c r="D93" s="82"/>
      <c r="E93" s="82"/>
      <c r="F93" s="82"/>
      <c r="G93" s="82"/>
      <c r="H93" s="82"/>
      <c r="I93" s="82"/>
      <c r="J93" s="82"/>
      <c r="K93" s="82"/>
      <c r="L93" s="82"/>
      <c r="M93" s="82"/>
      <c r="N93" s="82"/>
      <c r="O93" s="82"/>
      <c r="P93" s="82"/>
      <c r="Q93" s="82"/>
      <c r="R93" s="82"/>
    </row>
    <row r="94" spans="1:18" x14ac:dyDescent="0.15">
      <c r="A94" s="82"/>
      <c r="B94" s="82"/>
      <c r="C94" s="82"/>
      <c r="D94" s="82"/>
      <c r="E94" s="82"/>
      <c r="F94" s="82"/>
      <c r="G94" s="82"/>
      <c r="H94" s="82"/>
      <c r="I94" s="82"/>
      <c r="J94" s="82"/>
      <c r="K94" s="82"/>
      <c r="L94" s="82"/>
      <c r="M94" s="82"/>
      <c r="N94" s="82" t="s">
        <v>512</v>
      </c>
      <c r="O94" s="82"/>
      <c r="P94" s="82"/>
      <c r="Q94" s="82"/>
      <c r="R94" s="82"/>
    </row>
    <row r="95" spans="1:18" x14ac:dyDescent="0.15">
      <c r="A95" s="82"/>
      <c r="B95" s="82"/>
      <c r="C95" s="82"/>
      <c r="D95" s="82"/>
      <c r="E95" s="82"/>
      <c r="F95" s="82"/>
      <c r="G95" s="82"/>
      <c r="H95" s="82"/>
      <c r="I95" s="82"/>
      <c r="J95" s="82"/>
      <c r="K95" s="82"/>
      <c r="L95" s="82"/>
      <c r="M95" s="82"/>
      <c r="N95" s="82"/>
      <c r="O95" s="82"/>
      <c r="P95" s="82"/>
      <c r="Q95" s="82"/>
      <c r="R95" s="82"/>
    </row>
    <row r="96" spans="1:18" x14ac:dyDescent="0.15">
      <c r="A96" s="82"/>
      <c r="B96" s="82"/>
      <c r="C96" s="82"/>
      <c r="D96" s="82"/>
      <c r="E96" s="82"/>
      <c r="F96" s="82"/>
      <c r="G96" s="82"/>
      <c r="H96" s="82"/>
      <c r="I96" s="82"/>
      <c r="J96" s="82"/>
      <c r="K96" s="82"/>
      <c r="L96" s="82"/>
      <c r="M96" s="82"/>
      <c r="N96" s="82"/>
      <c r="O96" s="82"/>
      <c r="P96" s="82"/>
      <c r="Q96" s="82"/>
      <c r="R96" s="82"/>
    </row>
    <row r="97" spans="1:19" x14ac:dyDescent="0.15">
      <c r="A97" s="82"/>
      <c r="B97" s="82"/>
      <c r="C97" s="82"/>
      <c r="D97" s="82"/>
      <c r="E97" s="82"/>
      <c r="F97" s="82"/>
      <c r="G97" s="82"/>
      <c r="H97" s="82"/>
      <c r="I97" s="82"/>
      <c r="J97" s="82"/>
      <c r="K97" s="82"/>
      <c r="L97" s="82"/>
      <c r="M97" s="82"/>
      <c r="N97" s="82"/>
      <c r="O97" s="82"/>
      <c r="P97" s="82"/>
      <c r="Q97" s="82"/>
      <c r="R97" s="82"/>
    </row>
    <row r="98" spans="1:19" x14ac:dyDescent="0.15">
      <c r="A98" s="82"/>
      <c r="B98" s="82"/>
      <c r="C98" s="666" t="s">
        <v>481</v>
      </c>
      <c r="D98" s="670"/>
      <c r="E98" s="670"/>
      <c r="F98" s="668"/>
      <c r="G98" s="82" t="s">
        <v>83</v>
      </c>
      <c r="H98" s="82"/>
      <c r="I98" s="82"/>
      <c r="J98" s="82"/>
      <c r="K98" s="82"/>
      <c r="L98" s="82"/>
      <c r="M98" s="82"/>
      <c r="N98" s="82"/>
      <c r="O98" s="82"/>
      <c r="P98" s="82"/>
      <c r="Q98" s="82"/>
      <c r="R98" s="82"/>
    </row>
    <row r="99" spans="1:19" x14ac:dyDescent="0.15">
      <c r="A99" s="82"/>
      <c r="B99" s="82"/>
      <c r="C99" s="82" t="s">
        <v>84</v>
      </c>
      <c r="D99" s="82"/>
      <c r="E99" s="82"/>
      <c r="F99" s="82"/>
      <c r="G99" s="82"/>
      <c r="H99" s="82"/>
      <c r="I99" s="82"/>
      <c r="J99" s="82"/>
      <c r="K99" s="82"/>
      <c r="L99" s="82"/>
      <c r="M99" s="82"/>
      <c r="N99" s="82"/>
      <c r="O99" s="82"/>
      <c r="P99" s="82"/>
      <c r="Q99" s="82"/>
      <c r="R99" s="82"/>
    </row>
    <row r="100" spans="1:19" x14ac:dyDescent="0.15">
      <c r="A100" s="82"/>
      <c r="B100" s="82"/>
      <c r="C100" s="82" t="s">
        <v>483</v>
      </c>
      <c r="D100" s="82"/>
      <c r="E100" s="82"/>
      <c r="F100" s="82"/>
      <c r="G100" s="82"/>
      <c r="H100" s="82"/>
      <c r="I100" s="82"/>
      <c r="J100" s="82"/>
      <c r="K100" s="82"/>
      <c r="L100" s="82"/>
      <c r="M100" s="82"/>
      <c r="N100" s="82"/>
      <c r="O100" s="82"/>
      <c r="P100" s="82"/>
      <c r="Q100" s="82"/>
      <c r="R100" s="82"/>
    </row>
    <row r="101" spans="1:19" x14ac:dyDescent="0.15">
      <c r="A101" s="82"/>
      <c r="B101" s="82"/>
      <c r="C101" s="82" t="s">
        <v>85</v>
      </c>
      <c r="D101" s="82"/>
      <c r="E101" s="82"/>
      <c r="F101" s="82"/>
      <c r="G101" s="82"/>
      <c r="H101" s="82"/>
      <c r="I101" s="82"/>
      <c r="J101" s="82"/>
      <c r="K101" s="82"/>
      <c r="L101" s="82"/>
      <c r="M101" s="82"/>
      <c r="N101" s="82"/>
      <c r="O101" s="82"/>
      <c r="P101" s="82"/>
      <c r="Q101" s="82"/>
      <c r="R101" s="82"/>
    </row>
    <row r="102" spans="1:19" x14ac:dyDescent="0.15">
      <c r="A102" s="82"/>
      <c r="B102" s="82"/>
      <c r="C102" s="82" t="s">
        <v>482</v>
      </c>
      <c r="D102" s="82"/>
      <c r="E102" s="82"/>
      <c r="F102" s="82"/>
      <c r="G102" s="82"/>
      <c r="H102" s="82"/>
      <c r="I102" s="82"/>
      <c r="J102" s="82"/>
      <c r="K102" s="82"/>
      <c r="L102" s="82"/>
      <c r="M102" s="82"/>
      <c r="N102" s="82"/>
      <c r="O102" s="82"/>
      <c r="P102" s="82"/>
      <c r="Q102" s="82"/>
      <c r="R102" s="82"/>
    </row>
    <row r="103" spans="1:19" x14ac:dyDescent="0.15">
      <c r="A103" s="82"/>
      <c r="B103" s="82"/>
      <c r="C103" s="82"/>
      <c r="D103" s="82"/>
      <c r="E103" s="82"/>
      <c r="F103" s="82"/>
      <c r="G103" s="82"/>
      <c r="H103" s="82"/>
      <c r="I103" s="82"/>
      <c r="J103" s="82"/>
      <c r="K103" s="82"/>
      <c r="L103" s="82"/>
      <c r="M103" s="82"/>
      <c r="N103" s="82"/>
      <c r="O103" s="82"/>
      <c r="P103" s="82"/>
      <c r="Q103" s="82"/>
      <c r="R103" s="82"/>
    </row>
    <row r="104" spans="1:19" x14ac:dyDescent="0.15">
      <c r="A104" s="82"/>
      <c r="B104" s="82"/>
      <c r="C104" s="82"/>
      <c r="D104" s="82"/>
      <c r="E104" s="82"/>
      <c r="F104" s="82"/>
      <c r="G104" s="82"/>
      <c r="H104" s="82"/>
      <c r="I104" s="82"/>
      <c r="J104" s="82"/>
      <c r="K104" s="82"/>
      <c r="L104" s="82"/>
      <c r="M104" s="82"/>
      <c r="N104" s="82"/>
      <c r="O104" s="82"/>
      <c r="P104" s="82"/>
      <c r="Q104" s="82"/>
      <c r="R104" s="82"/>
    </row>
    <row r="105" spans="1:19" x14ac:dyDescent="0.15">
      <c r="A105" s="82"/>
      <c r="B105" s="82"/>
      <c r="C105" s="82"/>
      <c r="D105" s="82"/>
      <c r="E105" s="82"/>
      <c r="F105" s="82"/>
      <c r="G105" s="82"/>
      <c r="H105" s="82"/>
      <c r="I105" s="82"/>
      <c r="J105" s="82"/>
      <c r="K105" s="82"/>
      <c r="L105" s="82"/>
      <c r="M105" s="82"/>
      <c r="N105" s="82"/>
      <c r="O105" s="82"/>
      <c r="P105" s="82"/>
      <c r="Q105" s="82"/>
      <c r="R105" s="82"/>
    </row>
    <row r="106" spans="1:19" x14ac:dyDescent="0.15">
      <c r="A106" s="82"/>
      <c r="B106" s="82"/>
      <c r="C106" s="82"/>
      <c r="D106" s="82"/>
      <c r="E106" s="82"/>
      <c r="F106" s="82"/>
      <c r="G106" s="82"/>
      <c r="H106" s="82"/>
      <c r="I106" s="82"/>
      <c r="J106" s="82"/>
      <c r="K106" s="82"/>
      <c r="L106" s="82"/>
      <c r="M106" s="82"/>
      <c r="N106" s="82"/>
      <c r="O106" s="82"/>
      <c r="P106" s="82"/>
      <c r="Q106" s="82"/>
      <c r="R106" s="82"/>
    </row>
    <row r="107" spans="1:19" ht="16" x14ac:dyDescent="0.2">
      <c r="A107" s="82"/>
      <c r="B107" s="270" t="s">
        <v>493</v>
      </c>
      <c r="C107" s="190"/>
      <c r="D107" s="82" t="s">
        <v>494</v>
      </c>
      <c r="E107" s="82"/>
      <c r="F107" s="82"/>
      <c r="G107" s="82"/>
      <c r="H107" s="82"/>
      <c r="I107" s="82"/>
      <c r="J107" s="82"/>
      <c r="K107" s="82"/>
      <c r="L107" s="82"/>
      <c r="M107" s="82"/>
      <c r="N107" s="82"/>
      <c r="O107" s="82"/>
      <c r="P107" s="82"/>
      <c r="Q107" s="82"/>
      <c r="R107" s="82"/>
      <c r="S107" s="82"/>
    </row>
    <row r="108" spans="1:19" x14ac:dyDescent="0.15">
      <c r="A108" s="82"/>
      <c r="B108" s="82"/>
      <c r="C108" s="82"/>
      <c r="D108" s="82"/>
      <c r="E108" s="82"/>
      <c r="F108" s="82"/>
      <c r="G108" s="82"/>
      <c r="H108" s="82"/>
      <c r="I108" s="82"/>
      <c r="J108" s="82"/>
      <c r="K108" s="82"/>
      <c r="L108" s="82"/>
      <c r="M108" s="82"/>
      <c r="N108" s="82"/>
      <c r="O108" s="82"/>
      <c r="P108" s="82"/>
      <c r="Q108" s="82"/>
      <c r="R108" s="82"/>
      <c r="S108" s="82"/>
    </row>
    <row r="109" spans="1:19" x14ac:dyDescent="0.15">
      <c r="A109" s="82"/>
      <c r="B109" s="671">
        <v>1</v>
      </c>
      <c r="C109" s="82" t="s">
        <v>495</v>
      </c>
      <c r="D109" s="82"/>
      <c r="E109" s="82"/>
      <c r="F109" s="82"/>
      <c r="G109" s="82"/>
      <c r="H109" s="82"/>
      <c r="I109" s="82"/>
      <c r="J109" s="82"/>
      <c r="K109" s="82"/>
      <c r="L109" s="82"/>
      <c r="M109" s="82"/>
      <c r="N109" s="82"/>
      <c r="O109" s="82"/>
      <c r="P109" s="82"/>
      <c r="Q109" s="82"/>
      <c r="R109" s="82"/>
      <c r="S109" s="82"/>
    </row>
    <row r="110" spans="1:19" x14ac:dyDescent="0.15">
      <c r="A110" s="82"/>
      <c r="B110" s="243"/>
      <c r="C110" s="82"/>
      <c r="D110" s="82"/>
      <c r="E110" s="82"/>
      <c r="F110" s="82"/>
      <c r="G110" s="82"/>
      <c r="H110" s="82"/>
      <c r="I110" s="82"/>
      <c r="J110" s="82"/>
      <c r="K110" s="82"/>
      <c r="L110" s="82"/>
      <c r="M110" s="82"/>
      <c r="N110" s="82"/>
      <c r="O110" s="82"/>
      <c r="P110" s="82"/>
      <c r="Q110" s="82"/>
      <c r="R110" s="82"/>
      <c r="S110" s="82"/>
    </row>
    <row r="111" spans="1:19" x14ac:dyDescent="0.15">
      <c r="A111" s="82"/>
      <c r="B111" s="243">
        <v>2</v>
      </c>
      <c r="C111" s="82" t="s">
        <v>604</v>
      </c>
      <c r="D111" s="82"/>
      <c r="E111" s="82"/>
      <c r="F111" s="82"/>
      <c r="G111" s="82"/>
      <c r="H111" s="82"/>
      <c r="I111" s="82"/>
      <c r="J111" s="82"/>
      <c r="K111" s="82"/>
      <c r="L111" s="82"/>
      <c r="M111" s="82"/>
      <c r="N111" s="82"/>
      <c r="O111" s="82"/>
      <c r="P111" s="82"/>
      <c r="Q111" s="82"/>
      <c r="R111" s="82"/>
      <c r="S111" s="82"/>
    </row>
    <row r="112" spans="1:19" x14ac:dyDescent="0.15">
      <c r="A112" s="82"/>
      <c r="B112" s="243"/>
      <c r="C112" s="82"/>
      <c r="D112" s="82"/>
      <c r="E112" s="82"/>
      <c r="F112" s="82"/>
      <c r="G112" s="82"/>
      <c r="H112" s="82"/>
      <c r="I112" s="82"/>
      <c r="J112" s="82"/>
      <c r="K112" s="82"/>
      <c r="L112" s="82"/>
      <c r="M112" s="82"/>
      <c r="N112" s="82"/>
      <c r="O112" s="82"/>
      <c r="P112" s="82"/>
      <c r="Q112" s="82"/>
      <c r="R112" s="82"/>
      <c r="S112" s="82"/>
    </row>
    <row r="113" spans="1:19" x14ac:dyDescent="0.15">
      <c r="A113" s="82"/>
      <c r="B113" s="243">
        <v>3</v>
      </c>
      <c r="C113" s="82" t="s">
        <v>496</v>
      </c>
      <c r="D113" s="82"/>
      <c r="E113" s="82"/>
      <c r="F113" s="82"/>
      <c r="G113" s="82"/>
      <c r="H113" s="82"/>
      <c r="I113" s="82"/>
      <c r="J113" s="82"/>
      <c r="K113" s="82"/>
      <c r="L113" s="82"/>
      <c r="M113" s="82"/>
      <c r="N113" s="82"/>
      <c r="O113" s="82"/>
      <c r="P113" s="82"/>
      <c r="Q113" s="82"/>
      <c r="R113" s="82"/>
      <c r="S113" s="82"/>
    </row>
    <row r="114" spans="1:19" x14ac:dyDescent="0.15">
      <c r="A114" s="82"/>
      <c r="B114" s="243"/>
      <c r="C114" s="82"/>
      <c r="D114" s="82"/>
      <c r="E114" s="82"/>
      <c r="F114" s="82"/>
      <c r="G114" s="82"/>
      <c r="H114" s="82"/>
      <c r="I114" s="82"/>
      <c r="J114" s="82"/>
      <c r="K114" s="82"/>
      <c r="L114" s="82"/>
      <c r="M114" s="82"/>
      <c r="N114" s="82"/>
      <c r="O114" s="82"/>
      <c r="P114" s="82"/>
      <c r="Q114" s="82"/>
      <c r="R114" s="82"/>
      <c r="S114" s="82"/>
    </row>
    <row r="115" spans="1:19" x14ac:dyDescent="0.15">
      <c r="A115" s="82"/>
      <c r="B115" s="243">
        <v>4</v>
      </c>
      <c r="C115" s="82" t="s">
        <v>497</v>
      </c>
      <c r="D115" s="82"/>
      <c r="E115" s="82"/>
      <c r="F115" s="82"/>
      <c r="G115" s="82"/>
      <c r="H115" s="82"/>
      <c r="I115" s="82"/>
      <c r="J115" s="82"/>
      <c r="K115" s="82"/>
      <c r="L115" s="82"/>
      <c r="M115" s="82"/>
      <c r="N115" s="82"/>
      <c r="O115" s="82"/>
      <c r="P115" s="82"/>
      <c r="Q115" s="82"/>
      <c r="R115" s="82"/>
      <c r="S115" s="82"/>
    </row>
    <row r="116" spans="1:19" x14ac:dyDescent="0.15">
      <c r="A116" s="82"/>
      <c r="B116" s="243"/>
      <c r="C116" s="82"/>
      <c r="D116" s="82"/>
      <c r="E116" s="82"/>
      <c r="F116" s="82"/>
      <c r="G116" s="82"/>
      <c r="H116" s="82"/>
      <c r="I116" s="82"/>
      <c r="J116" s="82"/>
      <c r="K116" s="82"/>
      <c r="L116" s="82"/>
      <c r="M116" s="82"/>
      <c r="N116" s="82"/>
      <c r="O116" s="82"/>
      <c r="P116" s="82"/>
      <c r="Q116" s="82"/>
      <c r="R116" s="82"/>
      <c r="S116" s="82"/>
    </row>
    <row r="117" spans="1:19" x14ac:dyDescent="0.15">
      <c r="A117" s="82"/>
      <c r="B117" s="243">
        <v>5</v>
      </c>
      <c r="C117" s="82" t="s">
        <v>498</v>
      </c>
      <c r="D117" s="82"/>
      <c r="E117" s="82"/>
      <c r="F117" s="82"/>
      <c r="G117" s="82"/>
      <c r="H117" s="82"/>
      <c r="I117" s="82"/>
      <c r="J117" s="82"/>
      <c r="K117" s="82"/>
      <c r="L117" s="82"/>
      <c r="M117" s="82"/>
      <c r="N117" s="82"/>
      <c r="O117" s="82"/>
      <c r="P117" s="82"/>
      <c r="Q117" s="82"/>
      <c r="R117" s="82"/>
      <c r="S117" s="82"/>
    </row>
    <row r="118" spans="1:19" x14ac:dyDescent="0.15">
      <c r="A118" s="82"/>
      <c r="B118" s="243"/>
      <c r="C118" s="82" t="s">
        <v>499</v>
      </c>
      <c r="D118" s="82"/>
      <c r="E118" s="82"/>
      <c r="F118" s="82"/>
      <c r="G118" s="82"/>
      <c r="H118" s="82"/>
      <c r="I118" s="82"/>
      <c r="J118" s="82"/>
      <c r="K118" s="82"/>
      <c r="L118" s="82"/>
      <c r="M118" s="82"/>
      <c r="N118" s="82"/>
      <c r="O118" s="82"/>
      <c r="P118" s="82"/>
      <c r="Q118" s="82"/>
      <c r="R118" s="82"/>
      <c r="S118" s="82"/>
    </row>
    <row r="119" spans="1:19" x14ac:dyDescent="0.15">
      <c r="A119" s="82"/>
      <c r="B119" s="243"/>
      <c r="C119" s="82"/>
      <c r="D119" s="82"/>
      <c r="E119" s="82"/>
      <c r="F119" s="82"/>
      <c r="G119" s="82"/>
      <c r="H119" s="82"/>
      <c r="I119" s="82"/>
      <c r="J119" s="82"/>
      <c r="K119" s="82"/>
      <c r="L119" s="82"/>
      <c r="M119" s="82"/>
      <c r="N119" s="82"/>
      <c r="O119" s="82"/>
      <c r="P119" s="82"/>
      <c r="Q119" s="82"/>
      <c r="R119" s="82"/>
      <c r="S119" s="82"/>
    </row>
    <row r="120" spans="1:19" x14ac:dyDescent="0.15">
      <c r="A120" s="82"/>
      <c r="B120" s="243">
        <v>6</v>
      </c>
      <c r="C120" s="82" t="s">
        <v>500</v>
      </c>
      <c r="D120" s="82"/>
      <c r="E120" s="82"/>
      <c r="F120" s="82"/>
      <c r="G120" s="82"/>
      <c r="H120" s="82"/>
      <c r="I120" s="82"/>
      <c r="J120" s="82"/>
      <c r="K120" s="82"/>
      <c r="L120" s="82"/>
      <c r="M120" s="82"/>
      <c r="N120" s="82"/>
      <c r="O120" s="82"/>
      <c r="P120" s="82"/>
      <c r="Q120" s="82"/>
      <c r="R120" s="82"/>
      <c r="S120" s="82"/>
    </row>
    <row r="121" spans="1:19" x14ac:dyDescent="0.15">
      <c r="A121" s="82"/>
      <c r="B121" s="243"/>
      <c r="C121" s="82"/>
      <c r="D121" s="82"/>
      <c r="E121" s="82"/>
      <c r="F121" s="82"/>
      <c r="G121" s="82"/>
      <c r="H121" s="82"/>
      <c r="I121" s="82"/>
      <c r="J121" s="82"/>
      <c r="K121" s="82"/>
      <c r="L121" s="82"/>
      <c r="M121" s="82"/>
      <c r="N121" s="82"/>
      <c r="O121" s="82"/>
      <c r="P121" s="82"/>
      <c r="Q121" s="82"/>
      <c r="R121" s="82"/>
      <c r="S121" s="82"/>
    </row>
    <row r="122" spans="1:19" x14ac:dyDescent="0.15">
      <c r="A122" s="82"/>
      <c r="B122" s="243">
        <v>7</v>
      </c>
      <c r="C122" s="82" t="s">
        <v>501</v>
      </c>
      <c r="D122" s="82"/>
      <c r="E122" s="82"/>
      <c r="F122" s="82"/>
      <c r="G122" s="82"/>
      <c r="H122" s="82"/>
      <c r="I122" s="82"/>
      <c r="J122" s="82"/>
      <c r="K122" s="82"/>
      <c r="L122" s="82"/>
      <c r="M122" s="82"/>
      <c r="N122" s="82"/>
      <c r="O122" s="82"/>
      <c r="P122" s="82"/>
      <c r="Q122" s="82"/>
      <c r="R122" s="82"/>
      <c r="S122" s="82"/>
    </row>
    <row r="123" spans="1:19" x14ac:dyDescent="0.15">
      <c r="A123" s="82"/>
      <c r="B123" s="82"/>
      <c r="C123" s="82"/>
      <c r="D123" s="82"/>
      <c r="E123" s="82"/>
      <c r="F123" s="82"/>
      <c r="G123" s="82"/>
      <c r="H123" s="82"/>
      <c r="I123" s="82"/>
      <c r="J123" s="82"/>
      <c r="K123" s="82"/>
      <c r="L123" s="82"/>
      <c r="M123" s="82"/>
      <c r="N123" s="82"/>
      <c r="O123" s="82"/>
      <c r="P123" s="82"/>
      <c r="Q123" s="82"/>
      <c r="R123" s="82"/>
      <c r="S123" s="82"/>
    </row>
    <row r="124" spans="1:19" x14ac:dyDescent="0.15">
      <c r="A124" s="82"/>
      <c r="B124" s="243">
        <v>8</v>
      </c>
      <c r="C124" s="82" t="s">
        <v>502</v>
      </c>
      <c r="D124" s="82"/>
      <c r="E124" s="82"/>
      <c r="F124" s="82"/>
      <c r="G124" s="82"/>
      <c r="H124" s="82"/>
      <c r="I124" s="82"/>
      <c r="J124" s="82"/>
      <c r="K124" s="82"/>
      <c r="L124" s="82"/>
      <c r="M124" s="82"/>
      <c r="N124" s="82"/>
      <c r="O124" s="82"/>
      <c r="P124" s="82"/>
      <c r="Q124" s="82"/>
      <c r="R124" s="82"/>
      <c r="S124" s="82"/>
    </row>
    <row r="125" spans="1:19" x14ac:dyDescent="0.15">
      <c r="A125" s="82"/>
      <c r="B125" s="82"/>
      <c r="C125" s="82"/>
      <c r="D125" s="82"/>
      <c r="E125" s="82"/>
      <c r="F125" s="82"/>
      <c r="G125" s="82"/>
      <c r="H125" s="82"/>
      <c r="I125" s="82"/>
      <c r="J125" s="82"/>
      <c r="K125" s="82"/>
      <c r="L125" s="82"/>
      <c r="M125" s="82"/>
      <c r="N125" s="82"/>
      <c r="O125" s="82"/>
      <c r="P125" s="82"/>
      <c r="Q125" s="82"/>
      <c r="R125" s="82"/>
      <c r="S125" s="82"/>
    </row>
    <row r="126" spans="1:19" x14ac:dyDescent="0.15">
      <c r="A126" s="82"/>
      <c r="B126" s="243">
        <v>9</v>
      </c>
      <c r="C126" s="82" t="s">
        <v>86</v>
      </c>
      <c r="D126" s="82"/>
      <c r="E126" s="82"/>
      <c r="F126" s="82"/>
      <c r="G126" s="82"/>
      <c r="H126" s="82"/>
      <c r="I126" s="82"/>
      <c r="J126" s="82"/>
      <c r="K126" s="82"/>
      <c r="L126" s="82"/>
      <c r="M126" s="82"/>
      <c r="N126" s="82"/>
      <c r="O126" s="82"/>
      <c r="P126" s="82"/>
      <c r="Q126" s="82"/>
      <c r="R126" s="82"/>
      <c r="S126" s="82"/>
    </row>
    <row r="127" spans="1:19" x14ac:dyDescent="0.15">
      <c r="A127" s="82"/>
      <c r="B127" s="82"/>
      <c r="C127" s="82"/>
      <c r="D127" s="82"/>
      <c r="E127" s="82"/>
      <c r="F127" s="82"/>
      <c r="G127" s="82"/>
      <c r="H127" s="82"/>
      <c r="I127" s="82"/>
      <c r="J127" s="82"/>
      <c r="K127" s="82"/>
      <c r="L127" s="82"/>
      <c r="M127" s="82"/>
      <c r="N127" s="82"/>
      <c r="O127" s="82"/>
      <c r="P127" s="82"/>
      <c r="Q127" s="82"/>
      <c r="R127" s="82"/>
      <c r="S127" s="82"/>
    </row>
    <row r="128" spans="1:19" x14ac:dyDescent="0.15">
      <c r="B128" s="82"/>
      <c r="C128" s="82"/>
      <c r="D128" s="82"/>
      <c r="E128" s="82"/>
      <c r="F128" s="82"/>
      <c r="G128" s="82"/>
      <c r="H128" s="82"/>
      <c r="I128" s="82"/>
      <c r="J128" s="82"/>
      <c r="K128" s="82"/>
      <c r="L128" s="82"/>
      <c r="M128" s="82"/>
      <c r="N128" s="82"/>
      <c r="O128" s="82"/>
      <c r="P128" s="82"/>
      <c r="Q128" s="82"/>
      <c r="R128" s="82"/>
      <c r="S128" s="82"/>
    </row>
    <row r="129" spans="1:19" ht="16" x14ac:dyDescent="0.2">
      <c r="A129" s="82"/>
      <c r="B129" s="270" t="s">
        <v>503</v>
      </c>
      <c r="C129" s="190"/>
      <c r="D129" s="82" t="s">
        <v>504</v>
      </c>
      <c r="E129" s="82"/>
      <c r="F129" s="82"/>
      <c r="G129" s="82"/>
      <c r="H129" s="82"/>
      <c r="I129" s="82"/>
      <c r="J129" s="82"/>
      <c r="K129" s="82"/>
      <c r="L129" s="82"/>
      <c r="M129" s="82"/>
      <c r="N129" s="82"/>
      <c r="O129" s="82"/>
      <c r="P129" s="82"/>
      <c r="Q129" s="82"/>
      <c r="R129" s="82"/>
      <c r="S129" s="82"/>
    </row>
    <row r="130" spans="1:19" x14ac:dyDescent="0.15">
      <c r="A130" s="82"/>
      <c r="B130" s="82"/>
      <c r="C130" s="82"/>
      <c r="D130" s="82"/>
      <c r="E130" s="82"/>
      <c r="F130" s="82"/>
      <c r="G130" s="82"/>
      <c r="H130" s="82"/>
      <c r="I130" s="82"/>
      <c r="J130" s="82"/>
      <c r="K130" s="82"/>
      <c r="L130" s="82"/>
      <c r="M130" s="82"/>
      <c r="N130" s="82"/>
      <c r="O130" s="82"/>
      <c r="P130" s="82"/>
      <c r="Q130" s="82"/>
      <c r="R130" s="82"/>
      <c r="S130" s="82"/>
    </row>
    <row r="131" spans="1:19" x14ac:dyDescent="0.15">
      <c r="A131" s="243"/>
      <c r="B131" s="867" t="s">
        <v>505</v>
      </c>
      <c r="C131" s="867" t="s">
        <v>506</v>
      </c>
      <c r="D131" s="869" t="s">
        <v>951</v>
      </c>
      <c r="E131" s="868"/>
      <c r="F131" s="652"/>
      <c r="G131" s="652"/>
      <c r="H131" s="652"/>
      <c r="I131" s="652"/>
      <c r="J131" s="652"/>
      <c r="K131" s="652"/>
      <c r="L131" s="652"/>
      <c r="M131" s="652"/>
      <c r="N131" s="652"/>
      <c r="O131" s="669"/>
      <c r="P131" s="82"/>
      <c r="Q131" s="82"/>
      <c r="R131" s="82"/>
      <c r="S131" s="82"/>
    </row>
    <row r="132" spans="1:19" x14ac:dyDescent="0.15">
      <c r="A132" s="82"/>
      <c r="B132" s="673">
        <v>2</v>
      </c>
      <c r="C132" s="706">
        <v>38382</v>
      </c>
      <c r="D132" s="674" t="s">
        <v>507</v>
      </c>
      <c r="E132" s="652"/>
      <c r="F132" s="652"/>
      <c r="G132" s="652"/>
      <c r="H132" s="652"/>
      <c r="I132" s="652"/>
      <c r="J132" s="652"/>
      <c r="K132" s="652"/>
      <c r="L132" s="652"/>
      <c r="M132" s="652"/>
      <c r="N132" s="652"/>
      <c r="O132" s="669"/>
      <c r="P132" s="82"/>
      <c r="Q132" s="82"/>
      <c r="R132" s="82"/>
      <c r="S132" s="82"/>
    </row>
    <row r="133" spans="1:19" x14ac:dyDescent="0.15">
      <c r="A133" s="82"/>
      <c r="B133" s="707">
        <v>2.1</v>
      </c>
      <c r="C133" s="706">
        <v>38390</v>
      </c>
      <c r="D133" s="672" t="s">
        <v>265</v>
      </c>
      <c r="E133" s="652"/>
      <c r="F133" s="652"/>
      <c r="G133" s="652"/>
      <c r="H133" s="652"/>
      <c r="I133" s="652"/>
      <c r="J133" s="652"/>
      <c r="K133" s="652"/>
      <c r="L133" s="652"/>
      <c r="M133" s="652"/>
      <c r="N133" s="652"/>
      <c r="O133" s="669"/>
      <c r="P133" s="82"/>
      <c r="Q133" s="82"/>
      <c r="R133" s="82"/>
      <c r="S133" s="82"/>
    </row>
    <row r="134" spans="1:19" x14ac:dyDescent="0.15">
      <c r="A134" s="82"/>
      <c r="B134" s="707" t="s">
        <v>434</v>
      </c>
      <c r="C134" s="706">
        <v>38395</v>
      </c>
      <c r="D134" s="672" t="s">
        <v>435</v>
      </c>
      <c r="E134" s="652"/>
      <c r="F134" s="652"/>
      <c r="G134" s="652"/>
      <c r="H134" s="652"/>
      <c r="I134" s="652"/>
      <c r="J134" s="652"/>
      <c r="K134" s="652"/>
      <c r="L134" s="652"/>
      <c r="M134" s="652"/>
      <c r="N134" s="652"/>
      <c r="O134" s="669"/>
      <c r="P134" s="82"/>
      <c r="Q134" s="82"/>
      <c r="R134" s="82"/>
      <c r="S134" s="82"/>
    </row>
    <row r="135" spans="1:19" x14ac:dyDescent="0.15">
      <c r="A135" s="82"/>
      <c r="B135" s="707" t="s">
        <v>874</v>
      </c>
      <c r="C135" s="706">
        <v>38404</v>
      </c>
      <c r="D135" s="672" t="s">
        <v>875</v>
      </c>
      <c r="E135" s="652"/>
      <c r="F135" s="652"/>
      <c r="G135" s="652"/>
      <c r="H135" s="652"/>
      <c r="I135" s="652"/>
      <c r="J135" s="652"/>
      <c r="K135" s="652"/>
      <c r="L135" s="652"/>
      <c r="M135" s="652"/>
      <c r="N135" s="652"/>
      <c r="O135" s="669"/>
      <c r="P135" s="82"/>
      <c r="Q135" s="82"/>
      <c r="R135" s="82"/>
      <c r="S135" s="82"/>
    </row>
    <row r="136" spans="1:19" x14ac:dyDescent="0.15">
      <c r="A136" s="82"/>
      <c r="B136" s="707" t="s">
        <v>456</v>
      </c>
      <c r="C136" s="706">
        <v>38409</v>
      </c>
      <c r="D136" s="672" t="s">
        <v>457</v>
      </c>
      <c r="E136" s="652"/>
      <c r="F136" s="652"/>
      <c r="G136" s="652"/>
      <c r="H136" s="652"/>
      <c r="I136" s="652"/>
      <c r="J136" s="652"/>
      <c r="K136" s="652"/>
      <c r="L136" s="652"/>
      <c r="M136" s="652"/>
      <c r="N136" s="652"/>
      <c r="O136" s="669"/>
      <c r="P136" s="82"/>
      <c r="Q136" s="82"/>
      <c r="R136" s="82"/>
      <c r="S136" s="82"/>
    </row>
    <row r="137" spans="1:19" x14ac:dyDescent="0.15">
      <c r="A137" s="82"/>
      <c r="B137" s="707" t="s">
        <v>335</v>
      </c>
      <c r="C137" s="706">
        <v>38410</v>
      </c>
      <c r="D137" s="672" t="s">
        <v>336</v>
      </c>
      <c r="E137" s="652"/>
      <c r="F137" s="652"/>
      <c r="G137" s="652"/>
      <c r="H137" s="652"/>
      <c r="I137" s="652"/>
      <c r="J137" s="652"/>
      <c r="K137" s="652"/>
      <c r="L137" s="652"/>
      <c r="M137" s="652"/>
      <c r="N137" s="652"/>
      <c r="O137" s="669"/>
      <c r="P137" s="82"/>
      <c r="Q137" s="82"/>
      <c r="R137" s="82"/>
      <c r="S137" s="82"/>
    </row>
    <row r="138" spans="1:19" x14ac:dyDescent="0.15">
      <c r="A138" s="82"/>
      <c r="B138" s="707">
        <v>2.2000000000000002</v>
      </c>
      <c r="C138" s="706">
        <v>38410</v>
      </c>
      <c r="D138" s="672" t="s">
        <v>805</v>
      </c>
      <c r="E138" s="652"/>
      <c r="F138" s="652"/>
      <c r="G138" s="652"/>
      <c r="H138" s="652"/>
      <c r="I138" s="652"/>
      <c r="J138" s="652"/>
      <c r="K138" s="652"/>
      <c r="L138" s="652"/>
      <c r="M138" s="652"/>
      <c r="N138" s="652"/>
      <c r="O138" s="669"/>
      <c r="P138" s="82"/>
      <c r="Q138" s="82"/>
      <c r="R138" s="82"/>
      <c r="S138" s="82"/>
    </row>
    <row r="139" spans="1:19" x14ac:dyDescent="0.15">
      <c r="A139" s="82"/>
      <c r="B139" s="707" t="s">
        <v>896</v>
      </c>
      <c r="C139" s="706">
        <v>38487</v>
      </c>
      <c r="D139" s="672" t="s">
        <v>897</v>
      </c>
      <c r="E139" s="652"/>
      <c r="F139" s="652"/>
      <c r="G139" s="652"/>
      <c r="H139" s="652"/>
      <c r="I139" s="652"/>
      <c r="J139" s="652"/>
      <c r="K139" s="652"/>
      <c r="L139" s="652"/>
      <c r="M139" s="652"/>
      <c r="N139" s="652"/>
      <c r="O139" s="669"/>
      <c r="P139" s="82"/>
      <c r="Q139" s="82"/>
      <c r="R139" s="82"/>
      <c r="S139" s="82"/>
    </row>
    <row r="140" spans="1:19" x14ac:dyDescent="0.15">
      <c r="A140" s="82"/>
      <c r="B140" s="707" t="s">
        <v>437</v>
      </c>
      <c r="C140" s="706">
        <v>38526</v>
      </c>
      <c r="D140" s="672" t="s">
        <v>438</v>
      </c>
      <c r="E140" s="652"/>
      <c r="F140" s="652"/>
      <c r="G140" s="652"/>
      <c r="H140" s="652"/>
      <c r="I140" s="652"/>
      <c r="J140" s="652"/>
      <c r="K140" s="652"/>
      <c r="L140" s="652"/>
      <c r="M140" s="652"/>
      <c r="N140" s="652"/>
      <c r="O140" s="669"/>
      <c r="P140" s="82"/>
      <c r="Q140" s="82"/>
      <c r="R140" s="82"/>
      <c r="S140" s="82"/>
    </row>
    <row r="141" spans="1:19" x14ac:dyDescent="0.15">
      <c r="A141" s="82"/>
      <c r="B141" s="707">
        <v>2.2999999999999998</v>
      </c>
      <c r="C141" s="706">
        <v>38549</v>
      </c>
      <c r="D141" s="672" t="s">
        <v>453</v>
      </c>
      <c r="E141" s="652"/>
      <c r="F141" s="652"/>
      <c r="G141" s="652"/>
      <c r="H141" s="652"/>
      <c r="I141" s="652"/>
      <c r="J141" s="652"/>
      <c r="K141" s="652"/>
      <c r="L141" s="652"/>
      <c r="M141" s="652"/>
      <c r="N141" s="652"/>
      <c r="O141" s="669"/>
      <c r="P141" s="82"/>
      <c r="Q141" s="82"/>
      <c r="R141" s="82"/>
      <c r="S141" s="82"/>
    </row>
    <row r="142" spans="1:19" x14ac:dyDescent="0.15">
      <c r="A142" s="82"/>
      <c r="B142" s="707" t="s">
        <v>10</v>
      </c>
      <c r="C142" s="706">
        <v>38623</v>
      </c>
      <c r="D142" s="672" t="s">
        <v>11</v>
      </c>
      <c r="E142" s="652"/>
      <c r="F142" s="652"/>
      <c r="G142" s="652"/>
      <c r="H142" s="652"/>
      <c r="I142" s="652"/>
      <c r="J142" s="652"/>
      <c r="K142" s="652"/>
      <c r="L142" s="652"/>
      <c r="M142" s="652"/>
      <c r="N142" s="652"/>
      <c r="O142" s="669"/>
      <c r="P142" s="82"/>
      <c r="Q142" s="82"/>
      <c r="R142" s="82"/>
      <c r="S142" s="82"/>
    </row>
    <row r="143" spans="1:19" x14ac:dyDescent="0.15">
      <c r="A143" s="82"/>
      <c r="B143" s="707" t="s">
        <v>545</v>
      </c>
      <c r="C143" s="706">
        <v>38629</v>
      </c>
      <c r="D143" s="672" t="s">
        <v>546</v>
      </c>
      <c r="E143" s="652"/>
      <c r="F143" s="652"/>
      <c r="G143" s="652"/>
      <c r="H143" s="652"/>
      <c r="I143" s="652"/>
      <c r="J143" s="652"/>
      <c r="K143" s="652"/>
      <c r="L143" s="652"/>
      <c r="M143" s="652"/>
      <c r="N143" s="652"/>
      <c r="O143" s="669"/>
      <c r="P143" s="82"/>
      <c r="Q143" s="82"/>
      <c r="R143" s="82"/>
      <c r="S143" s="82"/>
    </row>
    <row r="144" spans="1:19" x14ac:dyDescent="0.15">
      <c r="A144" s="82"/>
      <c r="B144" s="707">
        <v>2.4</v>
      </c>
      <c r="C144" s="706">
        <v>39012</v>
      </c>
      <c r="D144" s="672" t="s">
        <v>740</v>
      </c>
      <c r="E144" s="652"/>
      <c r="F144" s="652"/>
      <c r="G144" s="652"/>
      <c r="H144" s="652"/>
      <c r="I144" s="652"/>
      <c r="J144" s="652"/>
      <c r="K144" s="652"/>
      <c r="L144" s="652"/>
      <c r="M144" s="652"/>
      <c r="N144" s="652"/>
      <c r="O144" s="669"/>
      <c r="P144" s="82"/>
      <c r="Q144" s="82"/>
      <c r="R144" s="82"/>
      <c r="S144" s="82"/>
    </row>
    <row r="145" spans="1:19" x14ac:dyDescent="0.15">
      <c r="A145" s="82"/>
      <c r="B145" s="707">
        <v>2.5</v>
      </c>
      <c r="C145" s="870" t="s">
        <v>973</v>
      </c>
      <c r="D145" s="672" t="s">
        <v>972</v>
      </c>
      <c r="E145" s="652"/>
      <c r="F145" s="652"/>
      <c r="G145" s="652"/>
      <c r="H145" s="652"/>
      <c r="I145" s="652"/>
      <c r="J145" s="652"/>
      <c r="K145" s="652"/>
      <c r="L145" s="652"/>
      <c r="M145" s="652"/>
      <c r="N145" s="652"/>
      <c r="O145" s="669"/>
      <c r="P145" s="82"/>
      <c r="Q145" s="82"/>
      <c r="R145" s="82"/>
      <c r="S145" s="82"/>
    </row>
    <row r="146" spans="1:19" x14ac:dyDescent="0.15">
      <c r="A146" s="82"/>
      <c r="B146" s="885" t="s">
        <v>717</v>
      </c>
      <c r="C146" s="706">
        <v>39513</v>
      </c>
      <c r="D146" s="886" t="s">
        <v>719</v>
      </c>
      <c r="E146" s="652"/>
      <c r="F146" s="652"/>
      <c r="G146" s="652"/>
      <c r="H146" s="652"/>
      <c r="I146" s="652"/>
      <c r="J146" s="652"/>
      <c r="K146" s="652"/>
      <c r="L146" s="652"/>
      <c r="M146" s="652"/>
      <c r="N146" s="652"/>
      <c r="O146" s="669"/>
      <c r="P146" s="82"/>
      <c r="Q146" s="82"/>
      <c r="R146" s="82"/>
      <c r="S146" s="82"/>
    </row>
    <row r="147" spans="1:19" x14ac:dyDescent="0.15">
      <c r="A147" s="82"/>
      <c r="B147" s="707" t="s">
        <v>718</v>
      </c>
      <c r="C147" s="706">
        <v>39525</v>
      </c>
      <c r="D147" s="672" t="s">
        <v>720</v>
      </c>
      <c r="E147" s="652"/>
      <c r="F147" s="652"/>
      <c r="G147" s="652"/>
      <c r="H147" s="652"/>
      <c r="I147" s="652"/>
      <c r="J147" s="652"/>
      <c r="K147" s="652"/>
      <c r="L147" s="652"/>
      <c r="M147" s="652"/>
      <c r="N147" s="652"/>
      <c r="O147" s="669"/>
      <c r="P147" s="82"/>
      <c r="Q147" s="82"/>
      <c r="R147" s="82"/>
      <c r="S147" s="82"/>
    </row>
    <row r="148" spans="1:19" x14ac:dyDescent="0.15">
      <c r="A148" s="82"/>
      <c r="B148" s="885" t="s">
        <v>723</v>
      </c>
      <c r="C148" s="706">
        <v>39799</v>
      </c>
      <c r="D148" s="886" t="s">
        <v>724</v>
      </c>
      <c r="E148" s="652"/>
      <c r="F148" s="652"/>
      <c r="G148" s="652"/>
      <c r="H148" s="652"/>
      <c r="I148" s="652"/>
      <c r="J148" s="652"/>
      <c r="K148" s="652"/>
      <c r="L148" s="652"/>
      <c r="M148" s="652"/>
      <c r="N148" s="652"/>
      <c r="O148" s="669"/>
      <c r="P148" s="82"/>
      <c r="Q148" s="82"/>
      <c r="R148" s="82"/>
      <c r="S148" s="82"/>
    </row>
    <row r="149" spans="1:19" x14ac:dyDescent="0.15">
      <c r="A149" s="82"/>
      <c r="B149" s="82"/>
      <c r="C149" s="82"/>
      <c r="D149" s="82"/>
      <c r="E149" s="82"/>
      <c r="F149" s="82"/>
      <c r="G149" s="82"/>
      <c r="H149" s="82"/>
      <c r="I149" s="82"/>
      <c r="J149" s="82"/>
      <c r="K149" s="82"/>
      <c r="L149" s="82"/>
      <c r="M149" s="82"/>
      <c r="N149" s="82"/>
      <c r="O149" s="82"/>
      <c r="P149" s="82"/>
      <c r="Q149" s="82"/>
      <c r="R149" s="82"/>
      <c r="S149" s="82"/>
    </row>
    <row r="150" spans="1:19" x14ac:dyDescent="0.15">
      <c r="A150" s="82"/>
      <c r="B150" s="82"/>
      <c r="C150" s="82"/>
      <c r="D150" s="82"/>
      <c r="E150" s="82"/>
      <c r="F150" s="82"/>
      <c r="G150" s="82"/>
      <c r="H150" s="82"/>
      <c r="I150" s="82"/>
      <c r="J150" s="82"/>
      <c r="K150" s="82"/>
      <c r="L150" s="82"/>
      <c r="M150" s="82"/>
      <c r="N150" s="82"/>
      <c r="O150" s="82"/>
      <c r="P150" s="82"/>
      <c r="Q150" s="82"/>
      <c r="R150" s="82"/>
      <c r="S150" s="82"/>
    </row>
    <row r="151" spans="1:19" x14ac:dyDescent="0.15">
      <c r="A151" s="82"/>
      <c r="B151" s="82"/>
      <c r="C151" s="82"/>
      <c r="D151" s="82"/>
      <c r="E151" s="82"/>
      <c r="F151" s="82"/>
      <c r="G151" s="82"/>
      <c r="H151" s="82"/>
      <c r="I151" s="82"/>
      <c r="J151" s="82"/>
      <c r="K151" s="82"/>
      <c r="L151" s="82"/>
      <c r="M151" s="82"/>
      <c r="N151" s="82"/>
      <c r="O151" s="82"/>
      <c r="P151" s="82"/>
      <c r="Q151" s="82"/>
      <c r="R151" s="82"/>
      <c r="S151" s="82"/>
    </row>
    <row r="152" spans="1:19" x14ac:dyDescent="0.15">
      <c r="A152" s="82"/>
      <c r="B152" s="82"/>
      <c r="C152" s="82"/>
      <c r="D152" s="82"/>
      <c r="E152" s="82"/>
      <c r="F152" s="82"/>
      <c r="G152" s="82"/>
      <c r="H152" s="82"/>
      <c r="I152" s="82"/>
      <c r="J152" s="82"/>
      <c r="K152" s="82"/>
      <c r="L152" s="82"/>
      <c r="M152" s="82"/>
      <c r="N152" s="82"/>
      <c r="O152" s="82"/>
      <c r="P152" s="82"/>
      <c r="Q152" s="82"/>
      <c r="R152" s="82"/>
      <c r="S152" s="82"/>
    </row>
    <row r="153" spans="1:19" x14ac:dyDescent="0.15">
      <c r="A153" s="82"/>
      <c r="B153" s="82"/>
      <c r="C153" s="82"/>
      <c r="D153" s="82"/>
      <c r="E153" s="82"/>
      <c r="F153" s="82"/>
      <c r="G153" s="82"/>
      <c r="H153" s="82"/>
      <c r="I153" s="82"/>
      <c r="J153" s="82"/>
      <c r="K153" s="82"/>
      <c r="L153" s="82"/>
      <c r="M153" s="82"/>
      <c r="N153" s="82"/>
      <c r="O153" s="82"/>
      <c r="P153" s="82"/>
      <c r="Q153" s="82"/>
      <c r="R153" s="82"/>
      <c r="S153" s="82"/>
    </row>
    <row r="154" spans="1:19" x14ac:dyDescent="0.15">
      <c r="A154" s="82"/>
      <c r="B154" s="82"/>
      <c r="C154" s="82"/>
      <c r="D154" s="82"/>
      <c r="E154" s="82"/>
      <c r="F154" s="82"/>
      <c r="G154" s="82"/>
      <c r="H154" s="82"/>
      <c r="I154" s="82"/>
      <c r="J154" s="82"/>
      <c r="K154" s="82"/>
      <c r="L154" s="82"/>
      <c r="M154" s="82"/>
      <c r="N154" s="82"/>
      <c r="O154" s="82"/>
      <c r="P154" s="82"/>
      <c r="Q154" s="82"/>
      <c r="R154" s="82"/>
      <c r="S154" s="82"/>
    </row>
    <row r="155" spans="1:19" x14ac:dyDescent="0.15">
      <c r="A155" s="82"/>
      <c r="B155" s="82"/>
      <c r="C155" s="82"/>
      <c r="D155" s="82"/>
      <c r="E155" s="82"/>
      <c r="F155" s="82"/>
      <c r="G155" s="82"/>
      <c r="H155" s="82"/>
      <c r="I155" s="82"/>
      <c r="J155" s="82"/>
      <c r="K155" s="82"/>
      <c r="L155" s="82"/>
      <c r="M155" s="82"/>
      <c r="N155" s="82"/>
      <c r="O155" s="82"/>
      <c r="P155" s="82"/>
      <c r="Q155" s="82"/>
      <c r="R155" s="82"/>
      <c r="S155" s="82"/>
    </row>
    <row r="156" spans="1:19" x14ac:dyDescent="0.15">
      <c r="A156" s="82"/>
      <c r="B156" s="82"/>
      <c r="C156" s="82"/>
      <c r="D156" s="82"/>
      <c r="E156" s="82"/>
      <c r="F156" s="82"/>
      <c r="G156" s="82"/>
      <c r="H156" s="82"/>
      <c r="I156" s="82"/>
      <c r="J156" s="82"/>
      <c r="K156" s="82"/>
      <c r="L156" s="82"/>
      <c r="M156" s="82"/>
      <c r="N156" s="82"/>
      <c r="O156" s="82"/>
      <c r="P156" s="82"/>
      <c r="Q156" s="82"/>
      <c r="R156" s="82"/>
      <c r="S156" s="82"/>
    </row>
    <row r="157" spans="1:19" x14ac:dyDescent="0.15">
      <c r="A157" s="82"/>
      <c r="B157" s="82"/>
      <c r="C157" s="82"/>
      <c r="D157" s="82"/>
      <c r="E157" s="82"/>
      <c r="F157" s="82"/>
      <c r="G157" s="82"/>
      <c r="H157" s="82"/>
      <c r="I157" s="82"/>
      <c r="J157" s="82"/>
      <c r="K157" s="82"/>
      <c r="L157" s="82"/>
      <c r="M157" s="82"/>
      <c r="N157" s="82"/>
      <c r="O157" s="82"/>
      <c r="P157" s="82"/>
      <c r="Q157" s="82"/>
      <c r="R157" s="82"/>
      <c r="S157" s="82"/>
    </row>
    <row r="158" spans="1:19" x14ac:dyDescent="0.15">
      <c r="A158" s="82"/>
      <c r="B158" s="82"/>
      <c r="C158" s="82"/>
      <c r="D158" s="82"/>
      <c r="E158" s="82"/>
      <c r="F158" s="82"/>
      <c r="G158" s="82"/>
      <c r="H158" s="82"/>
      <c r="I158" s="82"/>
      <c r="J158" s="82"/>
      <c r="K158" s="82"/>
      <c r="L158" s="82"/>
      <c r="M158" s="82"/>
      <c r="N158" s="82"/>
      <c r="O158" s="82"/>
      <c r="P158" s="82"/>
      <c r="Q158" s="82"/>
      <c r="R158" s="82"/>
      <c r="S158" s="82"/>
    </row>
    <row r="159" spans="1:19" x14ac:dyDescent="0.15">
      <c r="A159" s="82"/>
      <c r="B159" s="82"/>
      <c r="C159" s="82"/>
      <c r="D159" s="82"/>
      <c r="E159" s="82"/>
      <c r="F159" s="82"/>
      <c r="G159" s="82"/>
      <c r="H159" s="82"/>
      <c r="I159" s="82"/>
      <c r="J159" s="82"/>
      <c r="K159" s="82"/>
      <c r="L159" s="82"/>
      <c r="M159" s="82"/>
      <c r="N159" s="82"/>
      <c r="O159" s="82"/>
      <c r="P159" s="82"/>
      <c r="Q159" s="82"/>
      <c r="R159" s="82"/>
      <c r="S159" s="82"/>
    </row>
    <row r="160" spans="1:19" x14ac:dyDescent="0.15">
      <c r="A160" s="82"/>
      <c r="B160" s="82"/>
      <c r="C160" s="82"/>
      <c r="D160" s="82"/>
      <c r="E160" s="82"/>
      <c r="F160" s="82"/>
      <c r="G160" s="82"/>
      <c r="H160" s="82"/>
      <c r="I160" s="82"/>
      <c r="J160" s="82"/>
      <c r="K160" s="82"/>
      <c r="L160" s="82"/>
      <c r="M160" s="82"/>
      <c r="N160" s="82"/>
      <c r="O160" s="82"/>
      <c r="P160" s="82"/>
      <c r="Q160" s="82"/>
      <c r="R160" s="82"/>
      <c r="S160" s="82"/>
    </row>
    <row r="161" spans="1:19" x14ac:dyDescent="0.15">
      <c r="A161" s="82"/>
      <c r="B161" s="82"/>
      <c r="C161" s="82"/>
      <c r="D161" s="82"/>
      <c r="E161" s="82"/>
      <c r="F161" s="82"/>
      <c r="G161" s="82"/>
      <c r="H161" s="82"/>
      <c r="I161" s="82"/>
      <c r="J161" s="82"/>
      <c r="K161" s="82"/>
      <c r="L161" s="82"/>
      <c r="M161" s="82"/>
      <c r="N161" s="82"/>
      <c r="O161" s="82"/>
      <c r="P161" s="82"/>
      <c r="Q161" s="82"/>
      <c r="R161" s="82"/>
      <c r="S161" s="82"/>
    </row>
    <row r="162" spans="1:19" x14ac:dyDescent="0.15">
      <c r="A162" s="82"/>
      <c r="B162" s="82"/>
      <c r="C162" s="82"/>
      <c r="D162" s="82"/>
      <c r="E162" s="82"/>
      <c r="F162" s="82"/>
      <c r="G162" s="82"/>
      <c r="H162" s="82"/>
      <c r="I162" s="82"/>
      <c r="J162" s="82"/>
      <c r="K162" s="82"/>
      <c r="L162" s="82"/>
      <c r="M162" s="82"/>
      <c r="N162" s="82"/>
      <c r="O162" s="82"/>
      <c r="P162" s="82"/>
      <c r="Q162" s="82"/>
      <c r="R162" s="82"/>
      <c r="S162" s="82"/>
    </row>
    <row r="163" spans="1:19" x14ac:dyDescent="0.15">
      <c r="A163" s="82"/>
      <c r="B163" s="82"/>
      <c r="C163" s="82"/>
      <c r="D163" s="82"/>
      <c r="E163" s="82"/>
      <c r="F163" s="82"/>
      <c r="G163" s="82"/>
      <c r="H163" s="82"/>
      <c r="I163" s="82"/>
      <c r="J163" s="82"/>
      <c r="K163" s="82"/>
      <c r="L163" s="82"/>
      <c r="M163" s="82"/>
      <c r="N163" s="82"/>
      <c r="O163" s="82"/>
      <c r="P163" s="82"/>
      <c r="Q163" s="82"/>
      <c r="R163" s="82"/>
      <c r="S163" s="82"/>
    </row>
    <row r="164" spans="1:19" x14ac:dyDescent="0.15">
      <c r="A164" s="82"/>
      <c r="B164" s="82"/>
      <c r="C164" s="82"/>
      <c r="D164" s="82"/>
      <c r="E164" s="82"/>
      <c r="F164" s="82"/>
      <c r="G164" s="82"/>
      <c r="H164" s="82"/>
      <c r="I164" s="82"/>
      <c r="J164" s="82"/>
      <c r="K164" s="82"/>
      <c r="L164" s="82"/>
      <c r="M164" s="82"/>
      <c r="N164" s="82"/>
      <c r="O164" s="82"/>
      <c r="P164" s="82"/>
      <c r="Q164" s="82"/>
      <c r="R164" s="82"/>
      <c r="S164" s="82"/>
    </row>
    <row r="165" spans="1:19" x14ac:dyDescent="0.15">
      <c r="A165" s="82"/>
      <c r="B165" s="82"/>
      <c r="C165" s="82"/>
      <c r="D165" s="82"/>
      <c r="E165" s="82"/>
      <c r="F165" s="82"/>
      <c r="G165" s="82"/>
      <c r="H165" s="82"/>
      <c r="I165" s="82"/>
      <c r="J165" s="82"/>
      <c r="K165" s="82"/>
      <c r="L165" s="82"/>
      <c r="M165" s="82"/>
      <c r="N165" s="82"/>
      <c r="O165" s="82"/>
      <c r="P165" s="82"/>
      <c r="Q165" s="82"/>
      <c r="R165" s="82"/>
      <c r="S165" s="82"/>
    </row>
    <row r="166" spans="1:19" x14ac:dyDescent="0.15">
      <c r="A166" s="82"/>
      <c r="B166" s="82"/>
      <c r="C166" s="82"/>
      <c r="D166" s="82"/>
      <c r="E166" s="82"/>
      <c r="F166" s="82"/>
      <c r="G166" s="82"/>
      <c r="H166" s="82"/>
      <c r="I166" s="82"/>
      <c r="J166" s="82"/>
      <c r="K166" s="82"/>
      <c r="L166" s="82"/>
      <c r="M166" s="82"/>
      <c r="N166" s="82"/>
      <c r="O166" s="82"/>
      <c r="P166" s="82"/>
      <c r="Q166" s="82"/>
      <c r="R166" s="82"/>
      <c r="S166" s="82"/>
    </row>
    <row r="167" spans="1:19" x14ac:dyDescent="0.15">
      <c r="A167" s="82"/>
      <c r="B167" s="82"/>
      <c r="C167" s="82"/>
      <c r="D167" s="82"/>
      <c r="E167" s="82"/>
      <c r="F167" s="82"/>
      <c r="G167" s="82"/>
      <c r="H167" s="82"/>
      <c r="I167" s="82"/>
      <c r="J167" s="82"/>
      <c r="K167" s="82"/>
      <c r="L167" s="82"/>
      <c r="M167" s="82"/>
      <c r="N167" s="82"/>
      <c r="O167" s="82"/>
      <c r="P167" s="82"/>
      <c r="Q167" s="82"/>
      <c r="R167" s="82"/>
      <c r="S167" s="82"/>
    </row>
    <row r="168" spans="1:19" x14ac:dyDescent="0.15">
      <c r="A168" s="82"/>
      <c r="B168" s="82"/>
      <c r="C168" s="82"/>
      <c r="D168" s="82"/>
      <c r="E168" s="82"/>
      <c r="F168" s="82"/>
      <c r="G168" s="82"/>
      <c r="H168" s="82"/>
      <c r="I168" s="82"/>
      <c r="J168" s="82"/>
      <c r="K168" s="82"/>
      <c r="L168" s="82"/>
      <c r="M168" s="82"/>
      <c r="N168" s="82"/>
      <c r="O168" s="82"/>
      <c r="P168" s="82"/>
      <c r="Q168" s="82"/>
      <c r="R168" s="82"/>
      <c r="S168" s="82"/>
    </row>
    <row r="169" spans="1:19" x14ac:dyDescent="0.15">
      <c r="A169" s="82"/>
      <c r="B169" s="82"/>
      <c r="C169" s="82"/>
      <c r="D169" s="82"/>
      <c r="E169" s="82"/>
      <c r="F169" s="82"/>
      <c r="G169" s="82"/>
      <c r="H169" s="82"/>
      <c r="I169" s="82"/>
      <c r="J169" s="82"/>
      <c r="K169" s="82"/>
      <c r="L169" s="82"/>
      <c r="M169" s="82"/>
      <c r="N169" s="82"/>
      <c r="O169" s="82"/>
      <c r="P169" s="82"/>
      <c r="Q169" s="82"/>
      <c r="R169" s="82"/>
      <c r="S169" s="82"/>
    </row>
  </sheetData>
  <phoneticPr fontId="26" type="noConversion"/>
  <pageMargins left="0.75" right="0.75" top="1" bottom="1" header="0.5" footer="0.5"/>
  <pageSetup paperSize="9" orientation="portrait" horizontalDpi="4294967293" verticalDpi="0"/>
  <headerFooter alignWithMargins="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53"/>
  </sheetPr>
  <dimension ref="A1:U176"/>
  <sheetViews>
    <sheetView zoomScaleNormal="100" workbookViewId="0">
      <selection activeCell="B27" sqref="B27"/>
    </sheetView>
  </sheetViews>
  <sheetFormatPr baseColWidth="10" defaultColWidth="10.6640625" defaultRowHeight="13" x14ac:dyDescent="0.15"/>
  <cols>
    <col min="1" max="1" width="28.33203125" customWidth="1"/>
    <col min="2" max="2" width="19.33203125" customWidth="1"/>
    <col min="3" max="3" width="12.6640625" customWidth="1"/>
    <col min="4" max="4" width="11.33203125" customWidth="1"/>
    <col min="5" max="5" width="9.33203125" bestFit="1" customWidth="1"/>
    <col min="6" max="6" width="8.83203125" customWidth="1"/>
    <col min="7" max="7" width="10.83203125" customWidth="1"/>
    <col min="8" max="9" width="8.83203125" customWidth="1"/>
    <col min="10" max="10" width="9.6640625" customWidth="1"/>
    <col min="11" max="11" width="10.6640625" customWidth="1"/>
    <col min="12" max="12" width="11" customWidth="1"/>
    <col min="13" max="13" width="8.83203125" customWidth="1"/>
    <col min="14" max="14" width="11.6640625" customWidth="1"/>
    <col min="15" max="15" width="16.1640625" customWidth="1"/>
    <col min="16" max="256" width="8.83203125" customWidth="1"/>
  </cols>
  <sheetData>
    <row r="1" spans="1:21" ht="24" thickBot="1" x14ac:dyDescent="0.3">
      <c r="A1" s="393" t="s">
        <v>286</v>
      </c>
      <c r="B1" s="25"/>
      <c r="C1" s="25"/>
      <c r="D1" s="25"/>
      <c r="E1" s="676" t="str">
        <f>'Title Page'!F3</f>
        <v>3UCubed</v>
      </c>
      <c r="F1" s="25"/>
      <c r="G1" s="52" t="s">
        <v>512</v>
      </c>
      <c r="H1" s="25"/>
      <c r="I1" s="906">
        <f ca="1">'Title Page'!F23</f>
        <v>45769</v>
      </c>
      <c r="J1" s="52"/>
      <c r="K1" s="52" t="str">
        <f>'Title Page'!G1</f>
        <v xml:space="preserve"> Version: 2.5.3</v>
      </c>
      <c r="L1" s="52"/>
      <c r="M1" s="25"/>
      <c r="N1" s="25"/>
      <c r="O1" s="25"/>
      <c r="P1" s="25"/>
      <c r="Q1" s="121"/>
      <c r="R1" s="121"/>
      <c r="S1" s="121"/>
      <c r="T1" s="121"/>
      <c r="U1" s="289"/>
    </row>
    <row r="2" spans="1:21" ht="12.75" customHeight="1" x14ac:dyDescent="0.15">
      <c r="A2" s="873" t="s">
        <v>380</v>
      </c>
      <c r="B2" s="3"/>
      <c r="C2" s="3"/>
      <c r="D2" s="3"/>
      <c r="E2" s="702"/>
      <c r="F2" s="3"/>
      <c r="G2" s="4"/>
      <c r="H2" s="3"/>
      <c r="I2" s="4"/>
      <c r="J2" s="4"/>
      <c r="K2" s="4"/>
      <c r="L2" s="4"/>
      <c r="M2" s="3"/>
      <c r="N2" s="3"/>
      <c r="O2" s="3"/>
      <c r="P2" s="3"/>
      <c r="Q2" s="3"/>
      <c r="R2" s="3"/>
      <c r="S2" s="3"/>
      <c r="T2" s="3"/>
      <c r="U2" s="3"/>
    </row>
    <row r="3" spans="1:21" s="801" customFormat="1" ht="12.75" customHeight="1" thickBot="1" x14ac:dyDescent="0.2">
      <c r="A3" s="873" t="s">
        <v>381</v>
      </c>
      <c r="B3" s="90"/>
      <c r="C3" s="90"/>
      <c r="D3" s="90"/>
      <c r="E3" s="702"/>
      <c r="F3" s="90"/>
      <c r="G3" s="4"/>
      <c r="H3" s="90"/>
      <c r="I3" s="4"/>
      <c r="J3" s="4"/>
      <c r="K3" s="4"/>
      <c r="L3" s="4"/>
      <c r="M3" s="90"/>
      <c r="N3" s="90"/>
      <c r="O3" s="90"/>
      <c r="P3" s="90"/>
      <c r="Q3" s="90"/>
      <c r="R3" s="90"/>
      <c r="S3" s="90"/>
      <c r="T3" s="90"/>
      <c r="U3" s="90"/>
    </row>
    <row r="4" spans="1:21" s="801" customFormat="1" ht="12.75" customHeight="1" thickBot="1" x14ac:dyDescent="0.2">
      <c r="A4" s="874" t="s">
        <v>379</v>
      </c>
      <c r="B4" s="804" t="s">
        <v>317</v>
      </c>
      <c r="C4" s="398">
        <v>1</v>
      </c>
      <c r="D4" s="836" t="str">
        <f>INDEX(C6:DC9,C4,1)</f>
        <v>LEO</v>
      </c>
      <c r="E4" s="702"/>
      <c r="F4" s="804" t="s">
        <v>490</v>
      </c>
      <c r="G4" s="838">
        <f>INDEX(D6:D9,C4,1)</f>
        <v>1213.3286729260303</v>
      </c>
      <c r="H4" s="837" t="s">
        <v>517</v>
      </c>
      <c r="I4" s="90" t="s">
        <v>319</v>
      </c>
      <c r="J4" s="4"/>
      <c r="K4" s="4"/>
      <c r="L4" s="4"/>
      <c r="M4" s="90"/>
      <c r="N4" s="90"/>
      <c r="O4" s="90"/>
      <c r="P4" s="90"/>
      <c r="Q4" s="90"/>
      <c r="R4" s="90"/>
      <c r="S4" s="90"/>
      <c r="T4" s="90"/>
      <c r="U4" s="90"/>
    </row>
    <row r="5" spans="1:21" s="801" customFormat="1" ht="12.75" customHeight="1" x14ac:dyDescent="0.15">
      <c r="A5" s="4"/>
      <c r="B5" s="802" t="s">
        <v>320</v>
      </c>
      <c r="C5" s="802" t="s">
        <v>509</v>
      </c>
      <c r="D5" s="802" t="s">
        <v>318</v>
      </c>
      <c r="E5" s="702"/>
      <c r="F5" s="805"/>
      <c r="G5" s="4"/>
      <c r="H5" s="90"/>
      <c r="I5" s="90"/>
      <c r="J5" s="4"/>
      <c r="K5" s="4"/>
      <c r="L5" s="4"/>
      <c r="M5" s="90"/>
      <c r="N5" s="90"/>
      <c r="O5" s="90"/>
      <c r="P5" s="90"/>
      <c r="Q5" s="90"/>
      <c r="R5" s="90"/>
      <c r="S5" s="90"/>
      <c r="T5" s="90"/>
      <c r="U5" s="90"/>
    </row>
    <row r="6" spans="1:21" ht="12.75" customHeight="1" x14ac:dyDescent="0.25">
      <c r="A6" s="800"/>
      <c r="B6" s="803">
        <v>1</v>
      </c>
      <c r="C6" s="803" t="s">
        <v>314</v>
      </c>
      <c r="D6" s="808">
        <f>B36</f>
        <v>1213.3286729260303</v>
      </c>
      <c r="E6" s="90" t="s">
        <v>517</v>
      </c>
      <c r="F6" s="3"/>
      <c r="G6" s="4"/>
      <c r="H6" s="3"/>
      <c r="I6" s="4"/>
      <c r="J6" s="4"/>
      <c r="K6" s="4"/>
      <c r="L6" s="4"/>
      <c r="M6" s="3" t="s">
        <v>512</v>
      </c>
      <c r="N6" s="3"/>
      <c r="O6" s="3"/>
      <c r="P6" s="3"/>
      <c r="Q6" s="3"/>
      <c r="R6" s="3"/>
      <c r="S6" s="3"/>
      <c r="T6" s="3"/>
      <c r="U6" s="3"/>
    </row>
    <row r="7" spans="1:21" ht="12.75" customHeight="1" x14ac:dyDescent="0.25">
      <c r="A7" s="800"/>
      <c r="B7" s="803">
        <v>2</v>
      </c>
      <c r="C7" s="803" t="s">
        <v>315</v>
      </c>
      <c r="D7" s="812">
        <f>K63</f>
        <v>41126.753187550428</v>
      </c>
      <c r="E7" s="90" t="s">
        <v>517</v>
      </c>
      <c r="F7" s="3"/>
      <c r="G7" s="4"/>
      <c r="H7" s="3"/>
      <c r="I7" s="4"/>
      <c r="J7" s="4"/>
      <c r="K7" s="4"/>
      <c r="L7" s="4"/>
      <c r="M7" s="3"/>
      <c r="N7" s="3"/>
      <c r="O7" s="3"/>
      <c r="P7" s="3"/>
      <c r="Q7" s="3"/>
      <c r="R7" s="3"/>
      <c r="S7" s="3"/>
      <c r="T7" s="3"/>
      <c r="U7" s="3"/>
    </row>
    <row r="8" spans="1:21" ht="12.75" customHeight="1" x14ac:dyDescent="0.25">
      <c r="A8" s="800"/>
      <c r="B8" s="803">
        <v>3</v>
      </c>
      <c r="C8" s="803" t="s">
        <v>316</v>
      </c>
      <c r="D8" s="808">
        <f>B104</f>
        <v>38097.003575855539</v>
      </c>
      <c r="E8" s="90" t="s">
        <v>517</v>
      </c>
      <c r="F8" s="3"/>
      <c r="G8" s="4"/>
      <c r="H8" s="3"/>
      <c r="I8" s="4"/>
      <c r="J8" s="4"/>
      <c r="K8" s="4"/>
      <c r="L8" s="4"/>
      <c r="M8" s="3"/>
      <c r="N8" s="3"/>
      <c r="O8" s="3"/>
      <c r="P8" s="3"/>
      <c r="Q8" s="3"/>
      <c r="R8" s="3"/>
      <c r="S8" s="3"/>
      <c r="T8" s="3"/>
      <c r="U8" s="3"/>
    </row>
    <row r="9" spans="1:21" ht="12.75" customHeight="1" x14ac:dyDescent="0.25">
      <c r="A9" s="800"/>
      <c r="B9" s="803">
        <v>4</v>
      </c>
      <c r="C9" s="835" t="s">
        <v>489</v>
      </c>
      <c r="D9" s="876">
        <f>D125</f>
        <v>315000000.00000006</v>
      </c>
      <c r="E9" s="90" t="s">
        <v>517</v>
      </c>
      <c r="F9" s="3"/>
      <c r="G9" s="4"/>
      <c r="H9" s="3"/>
      <c r="I9" s="4"/>
      <c r="J9" s="4"/>
      <c r="K9" s="4"/>
      <c r="L9" s="4"/>
      <c r="M9" s="3"/>
      <c r="N9" s="3"/>
      <c r="O9" s="3"/>
      <c r="P9" s="3"/>
      <c r="Q9" s="3"/>
      <c r="R9" s="3"/>
      <c r="S9" s="3"/>
      <c r="T9" s="3"/>
      <c r="U9" s="3"/>
    </row>
    <row r="10" spans="1:21" ht="12.75" customHeight="1" thickBot="1" x14ac:dyDescent="0.25">
      <c r="A10" s="790"/>
      <c r="B10" s="3"/>
      <c r="C10" s="3"/>
      <c r="D10" s="3"/>
      <c r="E10" s="3"/>
      <c r="F10" s="3"/>
      <c r="G10" s="3"/>
      <c r="H10" s="3"/>
      <c r="I10" s="3"/>
      <c r="J10" s="3"/>
      <c r="K10" s="3"/>
      <c r="L10" s="3"/>
      <c r="M10" s="3"/>
      <c r="N10" s="3"/>
      <c r="O10" s="3"/>
      <c r="P10" s="3"/>
      <c r="Q10" s="3"/>
      <c r="R10" s="3"/>
      <c r="S10" s="3"/>
      <c r="T10" s="3"/>
      <c r="U10" s="3"/>
    </row>
    <row r="11" spans="1:21" ht="14" thickBot="1" x14ac:dyDescent="0.2">
      <c r="A11" s="3"/>
      <c r="B11" s="527"/>
      <c r="C11" s="3"/>
      <c r="D11" s="718" t="s">
        <v>538</v>
      </c>
      <c r="E11" s="27" t="s">
        <v>539</v>
      </c>
      <c r="F11" s="27"/>
      <c r="G11" s="3"/>
      <c r="H11" s="3"/>
      <c r="I11" s="49" t="s">
        <v>540</v>
      </c>
      <c r="J11" s="28" t="s">
        <v>541</v>
      </c>
      <c r="K11" s="3"/>
      <c r="L11" s="4" t="s">
        <v>620</v>
      </c>
      <c r="M11" s="3"/>
      <c r="N11" s="3"/>
      <c r="O11" s="3"/>
      <c r="P11" s="3"/>
      <c r="Q11" s="3"/>
      <c r="R11" s="3"/>
      <c r="S11" s="3"/>
      <c r="T11" s="3"/>
      <c r="U11" s="3"/>
    </row>
    <row r="12" spans="1:21" x14ac:dyDescent="0.15">
      <c r="A12" s="3" t="s">
        <v>623</v>
      </c>
      <c r="B12" s="722" t="s">
        <v>898</v>
      </c>
      <c r="C12" s="3"/>
      <c r="D12" s="50" t="s">
        <v>542</v>
      </c>
      <c r="E12" s="27" t="s">
        <v>629</v>
      </c>
      <c r="F12" s="27"/>
      <c r="G12" s="3"/>
      <c r="H12" s="3"/>
      <c r="I12" s="394" t="s">
        <v>617</v>
      </c>
      <c r="J12" s="28" t="s">
        <v>622</v>
      </c>
      <c r="K12" s="3"/>
      <c r="L12" s="3"/>
      <c r="M12" s="3"/>
      <c r="N12" s="3"/>
      <c r="O12" s="3"/>
      <c r="P12" s="3"/>
      <c r="Q12" s="3"/>
      <c r="R12" s="3"/>
      <c r="S12" s="3"/>
      <c r="T12" s="3"/>
      <c r="U12" s="3"/>
    </row>
    <row r="13" spans="1:21" ht="14" thickBot="1" x14ac:dyDescent="0.2">
      <c r="A13" s="106"/>
      <c r="B13" s="814"/>
      <c r="C13" s="106"/>
      <c r="D13" s="815"/>
      <c r="E13" s="816"/>
      <c r="F13" s="816"/>
      <c r="G13" s="106"/>
      <c r="H13" s="106"/>
      <c r="I13" s="817"/>
      <c r="J13" s="818"/>
      <c r="K13" s="106"/>
      <c r="L13" s="106"/>
      <c r="M13" s="106"/>
      <c r="N13" s="106"/>
      <c r="O13" s="106"/>
      <c r="P13" s="106"/>
      <c r="Q13" s="106"/>
      <c r="R13" s="106"/>
      <c r="S13" s="106"/>
      <c r="T13" s="106"/>
      <c r="U13" s="106"/>
    </row>
    <row r="14" spans="1:21" ht="16" x14ac:dyDescent="0.2">
      <c r="A14" s="860" t="s">
        <v>305</v>
      </c>
      <c r="B14" s="351" t="s">
        <v>1026</v>
      </c>
      <c r="C14" s="24"/>
      <c r="D14" s="24"/>
      <c r="E14" s="24"/>
      <c r="F14" s="24"/>
      <c r="G14" s="24"/>
      <c r="H14" s="24"/>
      <c r="I14" s="24"/>
      <c r="J14" s="24"/>
      <c r="K14" s="24"/>
      <c r="L14" s="24"/>
      <c r="M14" s="24"/>
      <c r="N14" s="24"/>
      <c r="O14" s="24"/>
      <c r="P14" s="24"/>
      <c r="Q14" s="24"/>
      <c r="R14" s="24"/>
      <c r="S14" s="24"/>
      <c r="T14" s="24"/>
      <c r="U14" s="24"/>
    </row>
    <row r="15" spans="1:21" ht="16" x14ac:dyDescent="0.2">
      <c r="A15" s="791" t="s">
        <v>287</v>
      </c>
      <c r="B15" s="789"/>
      <c r="C15" s="789"/>
      <c r="Q15" s="3"/>
      <c r="R15" s="3"/>
      <c r="S15" s="3"/>
      <c r="T15" s="3"/>
      <c r="U15" s="3"/>
    </row>
    <row r="16" spans="1:21" x14ac:dyDescent="0.15">
      <c r="A16" s="4" t="s">
        <v>547</v>
      </c>
      <c r="B16" s="4"/>
      <c r="C16" s="4"/>
      <c r="Q16" s="3"/>
      <c r="R16" s="3"/>
      <c r="S16" s="3"/>
      <c r="T16" s="3"/>
      <c r="U16" s="3"/>
    </row>
    <row r="17" spans="1:21" x14ac:dyDescent="0.15">
      <c r="A17" s="10" t="s">
        <v>513</v>
      </c>
      <c r="B17" s="11" t="s">
        <v>514</v>
      </c>
      <c r="C17" s="12" t="s">
        <v>515</v>
      </c>
      <c r="Q17" s="3"/>
      <c r="R17" s="3"/>
      <c r="S17" s="3"/>
      <c r="T17" s="3"/>
      <c r="U17" s="3"/>
    </row>
    <row r="18" spans="1:21" x14ac:dyDescent="0.15">
      <c r="A18" s="13" t="s">
        <v>516</v>
      </c>
      <c r="B18" s="14">
        <v>6378.1360000000004</v>
      </c>
      <c r="C18" s="13" t="s">
        <v>517</v>
      </c>
      <c r="Q18" s="3"/>
      <c r="R18" s="3"/>
      <c r="S18" s="3"/>
      <c r="T18" s="3"/>
      <c r="U18" s="3"/>
    </row>
    <row r="19" spans="1:21" x14ac:dyDescent="0.15">
      <c r="A19" s="13" t="s">
        <v>536</v>
      </c>
      <c r="B19" s="694">
        <v>510</v>
      </c>
      <c r="C19" s="13" t="s">
        <v>517</v>
      </c>
      <c r="Q19" s="3"/>
      <c r="R19" s="3"/>
      <c r="S19" s="3"/>
      <c r="T19" s="3"/>
      <c r="U19" s="3"/>
    </row>
    <row r="20" spans="1:21" x14ac:dyDescent="0.15">
      <c r="A20" s="13" t="s">
        <v>537</v>
      </c>
      <c r="B20" s="693">
        <v>510</v>
      </c>
      <c r="C20" s="13" t="s">
        <v>517</v>
      </c>
      <c r="Q20" s="3"/>
      <c r="R20" s="3"/>
      <c r="S20" s="3"/>
      <c r="T20" s="3"/>
      <c r="U20" s="3"/>
    </row>
    <row r="21" spans="1:21" x14ac:dyDescent="0.15">
      <c r="A21" s="3" t="s">
        <v>518</v>
      </c>
      <c r="B21" s="695">
        <f>(B19+B20+2*B18)/2</f>
        <v>6888.1360000000004</v>
      </c>
      <c r="C21" s="3" t="s">
        <v>517</v>
      </c>
      <c r="Q21" s="3"/>
      <c r="R21" s="3"/>
      <c r="S21" s="3"/>
      <c r="T21" s="3"/>
      <c r="U21" s="3"/>
    </row>
    <row r="22" spans="1:21" x14ac:dyDescent="0.15">
      <c r="A22" s="3" t="s">
        <v>519</v>
      </c>
      <c r="B22" s="15">
        <f>((B19+B18)-(B20+B18))/((B19+B18)+(B20+B18))</f>
        <v>0</v>
      </c>
      <c r="C22" s="3"/>
      <c r="Q22" s="3"/>
      <c r="R22" s="3"/>
      <c r="S22" s="3"/>
      <c r="T22" s="3"/>
      <c r="U22" s="3"/>
    </row>
    <row r="23" spans="1:21" x14ac:dyDescent="0.15">
      <c r="A23" s="3" t="s">
        <v>520</v>
      </c>
      <c r="B23" s="58">
        <v>97.44</v>
      </c>
      <c r="C23" s="3" t="s">
        <v>729</v>
      </c>
      <c r="Q23" s="3"/>
      <c r="R23" s="3"/>
      <c r="S23" s="3"/>
      <c r="T23" s="3"/>
      <c r="U23" s="3"/>
    </row>
    <row r="24" spans="1:21" x14ac:dyDescent="0.15">
      <c r="A24" s="3" t="s">
        <v>522</v>
      </c>
      <c r="B24" s="59">
        <v>0</v>
      </c>
      <c r="C24" s="3" t="s">
        <v>729</v>
      </c>
      <c r="Q24" s="3"/>
      <c r="R24" s="3"/>
      <c r="S24" s="3"/>
      <c r="T24" s="3"/>
      <c r="U24" s="3"/>
    </row>
    <row r="25" spans="1:21" x14ac:dyDescent="0.15">
      <c r="A25" s="3" t="s">
        <v>523</v>
      </c>
      <c r="B25" s="824">
        <v>340.47500000000002</v>
      </c>
      <c r="C25" s="3" t="s">
        <v>729</v>
      </c>
      <c r="Q25" s="3"/>
      <c r="R25" s="3"/>
      <c r="S25" s="3"/>
      <c r="T25" s="3"/>
      <c r="U25" s="3"/>
    </row>
    <row r="26" spans="1:21" x14ac:dyDescent="0.15">
      <c r="A26" s="3" t="s">
        <v>524</v>
      </c>
      <c r="B26" s="60">
        <v>0</v>
      </c>
      <c r="C26" s="3" t="s">
        <v>729</v>
      </c>
      <c r="Q26" s="3"/>
      <c r="R26" s="3"/>
      <c r="S26" s="3"/>
      <c r="T26" s="3"/>
      <c r="U26" s="3"/>
    </row>
    <row r="27" spans="1:21" x14ac:dyDescent="0.15">
      <c r="A27" s="3" t="s">
        <v>525</v>
      </c>
      <c r="B27" s="33">
        <f xml:space="preserve"> 84.4892*((B21/B18)^1.5)</f>
        <v>94.822871923323689</v>
      </c>
      <c r="C27" s="3" t="s">
        <v>526</v>
      </c>
      <c r="Q27" s="3"/>
      <c r="R27" s="3"/>
      <c r="S27" s="3"/>
      <c r="T27" s="3"/>
      <c r="U27" s="3"/>
    </row>
    <row r="28" spans="1:21" x14ac:dyDescent="0.15">
      <c r="A28" s="3" t="s">
        <v>527</v>
      </c>
      <c r="B28" s="17">
        <f>19.919482*((B18/B21)^3.5)*(1-1.25*((SIN(B23/57.29578))^2))/((1-B22^2)^2)</f>
        <v>-3.4854889267689133</v>
      </c>
      <c r="C28" s="3" t="s">
        <v>528</v>
      </c>
      <c r="Q28" s="3"/>
      <c r="R28" s="3"/>
      <c r="S28" s="3"/>
      <c r="T28" s="3"/>
      <c r="U28" s="3"/>
    </row>
    <row r="29" spans="1:21" x14ac:dyDescent="0.15">
      <c r="A29" s="3" t="s">
        <v>529</v>
      </c>
      <c r="B29" s="17">
        <f>(-9.9597408/(1-B22^2)^2)*((B18/B21)^3.5)*COS(B23/57.29578)</f>
        <v>0.98525655623416486</v>
      </c>
      <c r="C29" s="3" t="s">
        <v>528</v>
      </c>
      <c r="Q29" s="3"/>
      <c r="R29" s="3"/>
      <c r="S29" s="3"/>
      <c r="T29" s="3"/>
      <c r="U29" s="3"/>
    </row>
    <row r="30" spans="1:21" x14ac:dyDescent="0.15">
      <c r="A30" s="3" t="s">
        <v>616</v>
      </c>
      <c r="B30" s="50" t="s">
        <v>632</v>
      </c>
      <c r="C30" s="3" t="s">
        <v>528</v>
      </c>
      <c r="Q30" s="3"/>
      <c r="R30" s="3"/>
      <c r="S30" s="3"/>
      <c r="T30" s="3"/>
      <c r="U30" s="3"/>
    </row>
    <row r="31" spans="1:21" x14ac:dyDescent="0.15">
      <c r="A31" s="3" t="s">
        <v>543</v>
      </c>
      <c r="B31" s="16">
        <f>(B19+B20)/2</f>
        <v>510</v>
      </c>
      <c r="C31" s="3" t="s">
        <v>517</v>
      </c>
      <c r="Q31" s="3"/>
      <c r="R31" s="3"/>
      <c r="S31" s="3"/>
      <c r="T31" s="3"/>
      <c r="U31" s="3"/>
    </row>
    <row r="32" spans="1:21" x14ac:dyDescent="0.15">
      <c r="A32" s="3" t="s">
        <v>549</v>
      </c>
      <c r="B32" s="31">
        <f>B31+B18</f>
        <v>6888.1360000000004</v>
      </c>
      <c r="C32" s="3" t="s">
        <v>517</v>
      </c>
      <c r="Q32" s="3"/>
      <c r="R32" s="3"/>
      <c r="S32" s="3"/>
      <c r="T32" s="3"/>
      <c r="U32" s="3"/>
    </row>
    <row r="33" spans="1:21" x14ac:dyDescent="0.15">
      <c r="A33" s="3" t="s">
        <v>558</v>
      </c>
      <c r="B33" s="16">
        <f>57.2958*ACOS((0.98561)/(-9.95974/(((1-B22^2)^2))*(B18/B21)^3.5))</f>
        <v>97.442718697478796</v>
      </c>
      <c r="C33" s="3" t="s">
        <v>863</v>
      </c>
      <c r="Q33" s="3"/>
      <c r="R33" s="3"/>
      <c r="S33" s="3"/>
      <c r="T33" s="3"/>
      <c r="U33" s="3"/>
    </row>
    <row r="34" spans="1:21" x14ac:dyDescent="0.15">
      <c r="A34" s="3" t="s">
        <v>544</v>
      </c>
      <c r="B34" s="397">
        <v>20</v>
      </c>
      <c r="C34" s="3" t="s">
        <v>863</v>
      </c>
      <c r="Q34" s="3"/>
      <c r="R34" s="3"/>
      <c r="S34" s="3"/>
      <c r="T34" s="3"/>
      <c r="U34" s="3"/>
    </row>
    <row r="35" spans="1:21" ht="14" thickBot="1" x14ac:dyDescent="0.2">
      <c r="A35" s="3"/>
      <c r="B35" s="18"/>
      <c r="C35" s="3"/>
      <c r="Q35" s="3"/>
      <c r="R35" s="3"/>
      <c r="S35" s="3"/>
      <c r="T35" s="3"/>
      <c r="U35" s="3"/>
    </row>
    <row r="36" spans="1:21" ht="14" thickBot="1" x14ac:dyDescent="0.2">
      <c r="A36" s="3" t="s">
        <v>634</v>
      </c>
      <c r="B36" s="807">
        <f>B18*((((B32^2/B18^2)-(COS(B34/57.2958))^2)^0.5)-SIN(B34/57.2958))</f>
        <v>1213.3286729260303</v>
      </c>
      <c r="C36" s="3" t="s">
        <v>548</v>
      </c>
      <c r="Q36" s="3"/>
      <c r="R36" s="3"/>
      <c r="S36" s="3"/>
      <c r="T36" s="3"/>
      <c r="U36" s="3"/>
    </row>
    <row r="37" spans="1:21" ht="14" thickBot="1" x14ac:dyDescent="0.2">
      <c r="A37" s="106"/>
      <c r="B37" s="756"/>
      <c r="C37" s="106"/>
      <c r="D37" s="757"/>
      <c r="E37" s="757"/>
      <c r="F37" s="757"/>
      <c r="G37" s="757"/>
      <c r="H37" s="757"/>
      <c r="I37" s="757"/>
      <c r="J37" s="757"/>
      <c r="K37" s="757"/>
      <c r="L37" s="757"/>
      <c r="M37" s="757"/>
      <c r="N37" s="757"/>
      <c r="O37" s="757"/>
      <c r="P37" s="757"/>
      <c r="Q37" s="106"/>
      <c r="R37" s="106"/>
      <c r="S37" s="106"/>
      <c r="T37" s="106"/>
      <c r="U37" s="106"/>
    </row>
    <row r="38" spans="1:21" ht="17" thickBot="1" x14ac:dyDescent="0.25">
      <c r="A38" s="861" t="s">
        <v>306</v>
      </c>
      <c r="B38" s="24"/>
      <c r="C38" s="843" t="s">
        <v>868</v>
      </c>
      <c r="D38" s="24"/>
      <c r="E38" s="24"/>
      <c r="F38" s="24"/>
      <c r="G38" s="758"/>
      <c r="H38" s="24"/>
      <c r="I38" s="24"/>
      <c r="J38" s="24" t="s">
        <v>448</v>
      </c>
      <c r="K38" s="24"/>
      <c r="L38" s="24"/>
      <c r="M38" s="24"/>
      <c r="N38" s="24"/>
      <c r="O38" s="24"/>
      <c r="P38" s="24"/>
      <c r="Q38" s="24"/>
      <c r="R38" s="24"/>
      <c r="S38" s="24"/>
      <c r="T38" s="24"/>
      <c r="U38" s="24"/>
    </row>
    <row r="39" spans="1:21" ht="16" x14ac:dyDescent="0.2">
      <c r="A39" s="791" t="s">
        <v>288</v>
      </c>
      <c r="B39" s="789"/>
      <c r="C39" s="789"/>
      <c r="D39" s="759"/>
      <c r="E39" s="760"/>
      <c r="F39" s="760"/>
      <c r="G39" s="760"/>
      <c r="H39" s="760"/>
      <c r="I39" s="760"/>
      <c r="J39" s="760"/>
      <c r="K39" s="760"/>
      <c r="L39" s="760"/>
      <c r="M39" s="761"/>
      <c r="N39" s="3"/>
      <c r="O39" s="3"/>
      <c r="P39" s="3"/>
      <c r="Q39" s="3"/>
      <c r="R39" s="3"/>
      <c r="S39" s="3"/>
      <c r="T39" s="3"/>
      <c r="U39" s="3"/>
    </row>
    <row r="40" spans="1:21" x14ac:dyDescent="0.15">
      <c r="A40" s="4" t="s">
        <v>271</v>
      </c>
      <c r="B40" s="4"/>
      <c r="C40" s="4"/>
      <c r="D40" s="762"/>
      <c r="E40" s="763"/>
      <c r="F40" s="763"/>
      <c r="G40" s="763"/>
      <c r="H40" s="763"/>
      <c r="I40" s="763"/>
      <c r="J40" s="763"/>
      <c r="K40" s="763"/>
      <c r="L40" s="763"/>
      <c r="M40" s="764"/>
      <c r="N40" s="3"/>
      <c r="O40" s="3"/>
      <c r="P40" s="3"/>
      <c r="Q40" s="3"/>
      <c r="R40" s="3"/>
      <c r="S40" s="3"/>
      <c r="T40" s="3"/>
      <c r="U40" s="3"/>
    </row>
    <row r="41" spans="1:21" x14ac:dyDescent="0.15">
      <c r="A41" s="10" t="s">
        <v>513</v>
      </c>
      <c r="B41" s="11" t="s">
        <v>514</v>
      </c>
      <c r="C41" s="11" t="s">
        <v>515</v>
      </c>
      <c r="D41" s="762"/>
      <c r="E41" s="763"/>
      <c r="F41" s="763"/>
      <c r="G41" s="763"/>
      <c r="H41" s="763"/>
      <c r="I41" s="763"/>
      <c r="J41" s="763"/>
      <c r="K41" s="763"/>
      <c r="L41" s="763"/>
      <c r="M41" s="764"/>
      <c r="N41" s="3"/>
      <c r="O41" s="3"/>
      <c r="P41" s="3"/>
      <c r="Q41" s="3"/>
      <c r="R41" s="3"/>
      <c r="S41" s="3"/>
      <c r="T41" s="3"/>
      <c r="U41" s="3"/>
    </row>
    <row r="42" spans="1:21" x14ac:dyDescent="0.15">
      <c r="A42" s="13" t="s">
        <v>516</v>
      </c>
      <c r="B42" s="14">
        <v>6378.1369999999997</v>
      </c>
      <c r="C42" s="13" t="s">
        <v>517</v>
      </c>
      <c r="D42" s="762"/>
      <c r="E42" s="763"/>
      <c r="F42" s="763"/>
      <c r="G42" s="763"/>
      <c r="H42" s="763"/>
      <c r="I42" s="763"/>
      <c r="J42" s="763"/>
      <c r="K42" s="763"/>
      <c r="L42" s="763"/>
      <c r="M42" s="764"/>
      <c r="N42" s="3"/>
      <c r="O42" s="3"/>
      <c r="P42" s="3"/>
      <c r="Q42" s="3"/>
      <c r="R42" s="3"/>
      <c r="S42" s="3"/>
      <c r="T42" s="3"/>
      <c r="U42" s="3"/>
    </row>
    <row r="43" spans="1:21" x14ac:dyDescent="0.15">
      <c r="A43" s="13" t="s">
        <v>272</v>
      </c>
      <c r="B43" s="862">
        <v>35786</v>
      </c>
      <c r="C43" s="13" t="s">
        <v>517</v>
      </c>
      <c r="D43" s="762"/>
      <c r="E43" s="763"/>
      <c r="F43" s="763"/>
      <c r="G43" s="763"/>
      <c r="H43" s="763"/>
      <c r="I43" s="763"/>
      <c r="J43" s="763"/>
      <c r="K43" s="763"/>
      <c r="L43" s="763"/>
      <c r="M43" s="764"/>
      <c r="N43" s="3"/>
      <c r="O43" s="3"/>
      <c r="P43" s="3"/>
      <c r="Q43" s="3"/>
      <c r="R43" s="3"/>
      <c r="S43" s="3"/>
      <c r="T43" s="3"/>
      <c r="U43" s="3"/>
    </row>
    <row r="44" spans="1:21" x14ac:dyDescent="0.15">
      <c r="A44" s="13" t="s">
        <v>273</v>
      </c>
      <c r="B44" s="863">
        <v>500</v>
      </c>
      <c r="C44" s="13" t="s">
        <v>517</v>
      </c>
      <c r="D44" s="762"/>
      <c r="E44" s="763"/>
      <c r="F44" s="763"/>
      <c r="G44" s="763"/>
      <c r="H44" s="763"/>
      <c r="I44" s="763"/>
      <c r="J44" s="763"/>
      <c r="K44" s="763"/>
      <c r="L44" s="763"/>
      <c r="M44" s="764"/>
      <c r="N44" s="3"/>
      <c r="O44" s="3"/>
      <c r="P44" s="3"/>
      <c r="Q44" s="3"/>
      <c r="R44" s="3"/>
      <c r="S44" s="3"/>
      <c r="T44" s="3"/>
      <c r="U44" s="3"/>
    </row>
    <row r="45" spans="1:21" x14ac:dyDescent="0.15">
      <c r="A45" s="3" t="s">
        <v>518</v>
      </c>
      <c r="B45" s="14">
        <f>(B43+B44+2*B42)/2</f>
        <v>24521.136999999999</v>
      </c>
      <c r="C45" s="3" t="s">
        <v>517</v>
      </c>
      <c r="D45" s="762"/>
      <c r="E45" s="763"/>
      <c r="F45" s="763"/>
      <c r="G45" s="763"/>
      <c r="H45" s="763"/>
      <c r="I45" s="763"/>
      <c r="J45" s="763"/>
      <c r="K45" s="763"/>
      <c r="L45" s="763"/>
      <c r="M45" s="764"/>
      <c r="N45" s="3"/>
      <c r="O45" s="3"/>
      <c r="P45" s="3"/>
      <c r="Q45" s="3"/>
      <c r="R45" s="3"/>
      <c r="S45" s="3"/>
      <c r="T45" s="3"/>
      <c r="U45" s="3"/>
    </row>
    <row r="46" spans="1:21" x14ac:dyDescent="0.15">
      <c r="A46" s="3" t="s">
        <v>519</v>
      </c>
      <c r="B46" s="15">
        <f>((B43+B42)-(B44+B42))/((B43+B42)+(B44+B42))</f>
        <v>0.71950170989216355</v>
      </c>
      <c r="C46" s="3"/>
      <c r="D46" s="762"/>
      <c r="E46" s="763"/>
      <c r="F46" s="763"/>
      <c r="G46" s="763"/>
      <c r="H46" s="763"/>
      <c r="I46" s="763"/>
      <c r="J46" s="763"/>
      <c r="K46" s="763"/>
      <c r="L46" s="763"/>
      <c r="M46" s="764"/>
      <c r="N46" s="3"/>
      <c r="O46" s="3"/>
      <c r="P46" s="3"/>
      <c r="Q46" s="3"/>
      <c r="R46" s="3"/>
      <c r="S46" s="3"/>
      <c r="T46" s="3"/>
      <c r="U46" s="3"/>
    </row>
    <row r="47" spans="1:21" x14ac:dyDescent="0.15">
      <c r="A47" s="3" t="s">
        <v>520</v>
      </c>
      <c r="B47" s="58">
        <v>7</v>
      </c>
      <c r="C47" s="3" t="s">
        <v>521</v>
      </c>
      <c r="D47" s="762"/>
      <c r="E47" s="763"/>
      <c r="F47" s="763"/>
      <c r="G47" s="763"/>
      <c r="H47" s="763"/>
      <c r="I47" s="763"/>
      <c r="J47" s="763"/>
      <c r="K47" s="763"/>
      <c r="L47" s="763"/>
      <c r="M47" s="764"/>
      <c r="N47" s="3"/>
      <c r="O47" s="3"/>
      <c r="P47" s="3"/>
      <c r="Q47" s="3"/>
      <c r="R47" s="3"/>
      <c r="S47" s="3"/>
      <c r="T47" s="3"/>
      <c r="U47" s="3"/>
    </row>
    <row r="48" spans="1:21" x14ac:dyDescent="0.15">
      <c r="A48" s="3" t="s">
        <v>522</v>
      </c>
      <c r="B48" s="59">
        <v>180</v>
      </c>
      <c r="C48" s="3" t="s">
        <v>521</v>
      </c>
      <c r="D48" s="762"/>
      <c r="E48" s="763"/>
      <c r="F48" s="763"/>
      <c r="G48" s="763"/>
      <c r="H48" s="763"/>
      <c r="I48" s="763"/>
      <c r="J48" s="763"/>
      <c r="K48" s="763"/>
      <c r="L48" s="763"/>
      <c r="M48" s="764"/>
      <c r="N48" s="3"/>
      <c r="O48" s="3"/>
      <c r="P48" s="3"/>
      <c r="Q48" s="3"/>
      <c r="R48" s="3"/>
      <c r="S48" s="3"/>
      <c r="T48" s="3"/>
      <c r="U48" s="3"/>
    </row>
    <row r="49" spans="1:21" x14ac:dyDescent="0.15">
      <c r="A49" s="3" t="s">
        <v>523</v>
      </c>
      <c r="B49" s="60">
        <v>0</v>
      </c>
      <c r="C49" s="3" t="s">
        <v>521</v>
      </c>
      <c r="D49" s="762"/>
      <c r="E49" s="763"/>
      <c r="F49" s="763"/>
      <c r="G49" s="763"/>
      <c r="H49" s="763"/>
      <c r="I49" s="763"/>
      <c r="J49" s="763"/>
      <c r="K49" s="763"/>
      <c r="L49" s="763"/>
      <c r="M49" s="764"/>
      <c r="N49" s="3"/>
      <c r="O49" s="3"/>
      <c r="P49" s="3"/>
      <c r="Q49" s="3"/>
      <c r="R49" s="3"/>
      <c r="S49" s="3"/>
      <c r="T49" s="3"/>
      <c r="U49" s="3"/>
    </row>
    <row r="50" spans="1:21" x14ac:dyDescent="0.15">
      <c r="A50" s="3" t="s">
        <v>524</v>
      </c>
      <c r="B50" s="866">
        <f>INDEX(C65:C78,B63,1)</f>
        <v>179.99999</v>
      </c>
      <c r="C50" s="3" t="s">
        <v>521</v>
      </c>
      <c r="D50" s="762"/>
      <c r="E50" s="763"/>
      <c r="F50" s="763"/>
      <c r="G50" s="763"/>
      <c r="H50" s="763"/>
      <c r="I50" s="763"/>
      <c r="J50" s="763"/>
      <c r="K50" s="763"/>
      <c r="L50" s="763"/>
      <c r="M50" s="764"/>
      <c r="N50" s="3"/>
      <c r="O50" s="3"/>
      <c r="P50" s="3"/>
      <c r="Q50" s="3"/>
      <c r="R50" s="3"/>
      <c r="S50" s="3"/>
      <c r="T50" s="3"/>
      <c r="U50" s="3"/>
    </row>
    <row r="51" spans="1:21" x14ac:dyDescent="0.15">
      <c r="A51" s="3" t="s">
        <v>525</v>
      </c>
      <c r="B51" s="16">
        <f xml:space="preserve"> 84.4892*((B45/B42)^1.5)</f>
        <v>636.90013117168326</v>
      </c>
      <c r="C51" s="3" t="s">
        <v>526</v>
      </c>
      <c r="D51" s="762"/>
      <c r="E51" s="763"/>
      <c r="F51" s="763"/>
      <c r="G51" s="763"/>
      <c r="H51" s="763"/>
      <c r="I51" s="763"/>
      <c r="J51" s="763"/>
      <c r="K51" s="763"/>
      <c r="L51" s="763"/>
      <c r="M51" s="764"/>
      <c r="N51" s="3"/>
      <c r="O51" s="3"/>
      <c r="P51" s="3"/>
      <c r="Q51" s="3"/>
      <c r="R51" s="3"/>
      <c r="S51" s="3"/>
      <c r="T51" s="3"/>
      <c r="U51" s="3"/>
    </row>
    <row r="52" spans="1:21" x14ac:dyDescent="0.15">
      <c r="A52" s="3" t="s">
        <v>527</v>
      </c>
      <c r="B52" s="17">
        <f>19.919482*((B42/B45)^3.5)*(1-1.25*((SIN(B47/57.29578))^2))/((1-B46^2)^2)</f>
        <v>0.75424108469762274</v>
      </c>
      <c r="C52" s="3" t="s">
        <v>528</v>
      </c>
      <c r="D52" s="762"/>
      <c r="E52" s="763"/>
      <c r="F52" s="763"/>
      <c r="G52" s="763"/>
      <c r="H52" s="763"/>
      <c r="I52" s="763"/>
      <c r="J52" s="763"/>
      <c r="K52" s="763"/>
      <c r="L52" s="763"/>
      <c r="M52" s="764"/>
      <c r="N52" s="3"/>
      <c r="O52" s="3"/>
      <c r="P52" s="3"/>
      <c r="Q52" s="3"/>
      <c r="R52" s="3"/>
      <c r="S52" s="3"/>
      <c r="T52" s="3"/>
      <c r="U52" s="3"/>
    </row>
    <row r="53" spans="1:21" x14ac:dyDescent="0.15">
      <c r="A53" s="3" t="s">
        <v>529</v>
      </c>
      <c r="B53" s="17">
        <f>(-9.9597408/(1-B46^2)^2)*((B42/B45)^3.5)*COS(B47/57.29578)</f>
        <v>-0.38139010802751916</v>
      </c>
      <c r="C53" s="3" t="s">
        <v>528</v>
      </c>
      <c r="D53" s="762"/>
      <c r="E53" s="763"/>
      <c r="F53" s="763"/>
      <c r="G53" s="763"/>
      <c r="H53" s="763"/>
      <c r="I53" s="763"/>
      <c r="J53" s="763"/>
      <c r="K53" s="763"/>
      <c r="L53" s="763"/>
      <c r="M53" s="764"/>
      <c r="N53" s="3"/>
      <c r="O53" s="3"/>
      <c r="P53" s="3"/>
      <c r="Q53" s="3"/>
      <c r="R53" s="3"/>
      <c r="S53" s="3"/>
      <c r="T53" s="3"/>
      <c r="U53" s="3"/>
    </row>
    <row r="54" spans="1:21" x14ac:dyDescent="0.15">
      <c r="A54" s="3"/>
      <c r="B54" s="18"/>
      <c r="C54" s="3"/>
      <c r="D54" s="762"/>
      <c r="E54" s="763"/>
      <c r="F54" s="763"/>
      <c r="G54" s="763"/>
      <c r="H54" s="763"/>
      <c r="I54" s="763"/>
      <c r="J54" s="763"/>
      <c r="K54" s="763"/>
      <c r="L54" s="763"/>
      <c r="M54" s="764"/>
      <c r="N54" s="3"/>
      <c r="O54" s="3"/>
      <c r="P54" s="3"/>
      <c r="Q54" s="3"/>
      <c r="R54" s="3"/>
      <c r="S54" s="3"/>
      <c r="T54" s="3"/>
      <c r="U54" s="3"/>
    </row>
    <row r="55" spans="1:21" x14ac:dyDescent="0.15">
      <c r="A55" s="3"/>
      <c r="B55" s="18" t="s">
        <v>512</v>
      </c>
      <c r="C55" s="3"/>
      <c r="D55" s="762"/>
      <c r="E55" s="763"/>
      <c r="F55" s="763"/>
      <c r="G55" s="763"/>
      <c r="H55" s="763"/>
      <c r="I55" s="763"/>
      <c r="J55" s="763"/>
      <c r="K55" s="763"/>
      <c r="L55" s="763"/>
      <c r="M55" s="764"/>
      <c r="N55" s="3"/>
      <c r="O55" s="3"/>
      <c r="P55" s="3"/>
      <c r="Q55" s="3"/>
      <c r="R55" s="3"/>
      <c r="S55" s="3"/>
      <c r="T55" s="3"/>
      <c r="U55" s="3"/>
    </row>
    <row r="56" spans="1:21" x14ac:dyDescent="0.15">
      <c r="A56" s="3"/>
      <c r="B56" s="18"/>
      <c r="C56" s="3"/>
      <c r="D56" s="762"/>
      <c r="E56" s="763"/>
      <c r="F56" s="763"/>
      <c r="G56" s="763"/>
      <c r="H56" s="763"/>
      <c r="I56" s="763"/>
      <c r="J56" s="763"/>
      <c r="K56" s="763"/>
      <c r="L56" s="763"/>
      <c r="M56" s="764"/>
      <c r="N56" s="3"/>
      <c r="O56" s="3"/>
      <c r="P56" s="3"/>
      <c r="Q56" s="3"/>
      <c r="R56" s="3"/>
      <c r="S56" s="3"/>
      <c r="T56" s="3"/>
      <c r="U56" s="3"/>
    </row>
    <row r="57" spans="1:21" x14ac:dyDescent="0.15">
      <c r="A57" s="3"/>
      <c r="B57" s="18"/>
      <c r="C57" s="3"/>
      <c r="D57" s="762"/>
      <c r="E57" s="763"/>
      <c r="F57" s="763"/>
      <c r="G57" s="763"/>
      <c r="H57" s="763"/>
      <c r="I57" s="763"/>
      <c r="J57" s="763"/>
      <c r="K57" s="763"/>
      <c r="L57" s="763"/>
      <c r="M57" s="764"/>
      <c r="N57" s="3"/>
      <c r="O57" s="3"/>
      <c r="P57" s="3"/>
      <c r="Q57" s="3"/>
      <c r="R57" s="3"/>
      <c r="S57" s="3"/>
      <c r="T57" s="3"/>
      <c r="U57" s="3"/>
    </row>
    <row r="58" spans="1:21" x14ac:dyDescent="0.15">
      <c r="A58" s="3"/>
      <c r="B58" s="18"/>
      <c r="C58" s="831" t="s">
        <v>315</v>
      </c>
      <c r="D58" s="762"/>
      <c r="E58" s="763"/>
      <c r="F58" s="763"/>
      <c r="G58" s="763"/>
      <c r="H58" s="763"/>
      <c r="I58" s="763"/>
      <c r="J58" s="763"/>
      <c r="K58" s="763"/>
      <c r="L58" s="763"/>
      <c r="M58" s="764"/>
      <c r="N58" s="3"/>
      <c r="O58" s="3"/>
      <c r="P58" s="3"/>
      <c r="Q58" s="3"/>
      <c r="R58" s="3"/>
      <c r="S58" s="3"/>
      <c r="T58" s="3"/>
      <c r="U58" s="3"/>
    </row>
    <row r="59" spans="1:21" x14ac:dyDescent="0.15">
      <c r="A59" s="3"/>
      <c r="B59" s="18"/>
      <c r="C59" s="831" t="s">
        <v>449</v>
      </c>
      <c r="D59" s="762"/>
      <c r="E59" s="763"/>
      <c r="F59" s="763"/>
      <c r="G59" s="763"/>
      <c r="H59" s="763"/>
      <c r="I59" s="763"/>
      <c r="J59" s="763"/>
      <c r="K59" s="763"/>
      <c r="L59" s="765"/>
      <c r="M59" s="764"/>
      <c r="N59" s="3"/>
      <c r="O59" s="3"/>
      <c r="P59" s="3"/>
      <c r="Q59" s="3"/>
      <c r="R59" s="3"/>
      <c r="S59" s="3"/>
      <c r="T59" s="3"/>
      <c r="U59" s="3"/>
    </row>
    <row r="60" spans="1:21" x14ac:dyDescent="0.15">
      <c r="A60" s="3"/>
      <c r="B60" s="18"/>
      <c r="C60" s="831" t="s">
        <v>450</v>
      </c>
      <c r="D60" s="762"/>
      <c r="E60" s="763"/>
      <c r="F60" s="763"/>
      <c r="G60" s="763"/>
      <c r="H60" s="763"/>
      <c r="I60" s="763"/>
      <c r="J60" s="763"/>
      <c r="K60" s="763"/>
      <c r="L60" s="763"/>
      <c r="M60" s="764"/>
      <c r="N60" s="3"/>
      <c r="O60" s="3"/>
      <c r="P60" s="3"/>
      <c r="Q60" s="3"/>
      <c r="R60" s="3"/>
      <c r="S60" s="3"/>
      <c r="T60" s="3"/>
      <c r="U60" s="3"/>
    </row>
    <row r="61" spans="1:21" ht="14" thickBot="1" x14ac:dyDescent="0.2">
      <c r="A61" s="3"/>
      <c r="B61" s="18"/>
      <c r="C61" s="3"/>
      <c r="D61" s="798"/>
      <c r="E61" s="766"/>
      <c r="F61" s="766"/>
      <c r="G61" s="766"/>
      <c r="H61" s="766"/>
      <c r="I61" s="766"/>
      <c r="J61" s="766"/>
      <c r="K61" s="766"/>
      <c r="L61" s="766"/>
      <c r="M61" s="767"/>
      <c r="N61" s="3"/>
      <c r="O61" s="3"/>
      <c r="P61" s="3"/>
      <c r="Q61" s="3"/>
      <c r="R61" s="3"/>
      <c r="S61" s="3"/>
      <c r="T61" s="3"/>
      <c r="U61" s="3"/>
    </row>
    <row r="62" spans="1:21" ht="14" thickBot="1" x14ac:dyDescent="0.2">
      <c r="A62" s="3"/>
      <c r="B62" s="18"/>
      <c r="C62" s="3"/>
      <c r="D62" s="3"/>
      <c r="E62" s="3"/>
      <c r="F62" s="3"/>
      <c r="G62" s="3"/>
      <c r="H62" s="3"/>
      <c r="I62" s="3"/>
      <c r="J62" s="3"/>
      <c r="K62" s="3"/>
      <c r="L62" s="3"/>
      <c r="M62" s="3"/>
      <c r="N62" s="3"/>
      <c r="O62" s="3"/>
      <c r="P62" s="3"/>
      <c r="Q62" s="3"/>
      <c r="R62" s="3"/>
      <c r="S62" s="3"/>
      <c r="T62" s="3"/>
      <c r="U62" s="3"/>
    </row>
    <row r="63" spans="1:21" ht="14" thickBot="1" x14ac:dyDescent="0.2">
      <c r="A63" s="768" t="s">
        <v>274</v>
      </c>
      <c r="B63" s="864">
        <v>13</v>
      </c>
      <c r="C63" s="769">
        <f>INDEX(D65:D78,B63,1)</f>
        <v>35785.99999999781</v>
      </c>
      <c r="D63" s="770" t="s">
        <v>275</v>
      </c>
      <c r="E63" s="3"/>
      <c r="F63" s="804" t="s">
        <v>727</v>
      </c>
      <c r="G63" s="806">
        <v>5</v>
      </c>
      <c r="H63" s="90" t="s">
        <v>729</v>
      </c>
      <c r="I63" s="811" t="s">
        <v>321</v>
      </c>
      <c r="J63" s="3"/>
      <c r="K63" s="840">
        <f>B90*(((((C63+B90)^2/B90^2)-(COS(G63/57.2958))^2)^0.5)-SIN(G63/57.2958))</f>
        <v>41126.753187550428</v>
      </c>
      <c r="L63" s="220" t="s">
        <v>517</v>
      </c>
      <c r="M63" s="3"/>
      <c r="N63" s="3"/>
      <c r="O63" s="3"/>
      <c r="P63" s="3"/>
      <c r="Q63" s="3"/>
      <c r="R63" s="3"/>
      <c r="S63" s="3"/>
      <c r="T63" s="3"/>
      <c r="U63" s="3"/>
    </row>
    <row r="64" spans="1:21" x14ac:dyDescent="0.15">
      <c r="A64" s="809" t="s">
        <v>276</v>
      </c>
      <c r="B64" s="809" t="s">
        <v>277</v>
      </c>
      <c r="C64" s="809" t="s">
        <v>278</v>
      </c>
      <c r="D64" s="809" t="s">
        <v>279</v>
      </c>
      <c r="E64" s="810" t="s">
        <v>280</v>
      </c>
      <c r="F64" s="3"/>
      <c r="G64" s="810" t="s">
        <v>281</v>
      </c>
      <c r="H64" s="3"/>
      <c r="I64" s="3"/>
      <c r="J64" s="3"/>
      <c r="K64" s="3"/>
      <c r="L64" s="3"/>
      <c r="M64" s="3"/>
      <c r="N64" s="3"/>
      <c r="O64" s="3"/>
      <c r="P64" s="3"/>
      <c r="Q64" s="3"/>
      <c r="R64" s="3"/>
      <c r="S64" s="3"/>
      <c r="T64" s="3"/>
      <c r="U64" s="3"/>
    </row>
    <row r="65" spans="1:21" x14ac:dyDescent="0.15">
      <c r="A65" s="214">
        <v>1</v>
      </c>
      <c r="B65" s="771">
        <f>(B45*(1-(B46)^2))/(1+B46*COS(C65/57.29578))</f>
        <v>6878.1370000000024</v>
      </c>
      <c r="C65" s="772">
        <v>0</v>
      </c>
      <c r="D65" s="773">
        <f>B65-B42</f>
        <v>500.00000000000273</v>
      </c>
      <c r="E65" s="62">
        <f t="shared" ref="E65:E75" si="0">180-C65</f>
        <v>180</v>
      </c>
      <c r="F65" s="24" t="s">
        <v>737</v>
      </c>
      <c r="G65" s="774">
        <v>35</v>
      </c>
      <c r="H65" s="24" t="s">
        <v>512</v>
      </c>
      <c r="I65" s="24"/>
      <c r="J65" s="24"/>
      <c r="K65" s="24"/>
      <c r="L65" s="24"/>
      <c r="M65" s="24"/>
      <c r="N65" s="3"/>
      <c r="O65" s="3"/>
      <c r="P65" s="3"/>
      <c r="Q65" s="3"/>
      <c r="R65" s="3"/>
      <c r="S65" s="3"/>
      <c r="T65" s="3"/>
      <c r="U65" s="3"/>
    </row>
    <row r="66" spans="1:21" ht="14" thickBot="1" x14ac:dyDescent="0.2">
      <c r="A66" s="214">
        <v>2</v>
      </c>
      <c r="B66" s="771">
        <f>(B45*(1-(B46)^2))/(1+B46*COS(C66/57.29578))</f>
        <v>6977.6230175021201</v>
      </c>
      <c r="C66" s="214">
        <v>15</v>
      </c>
      <c r="D66" s="773">
        <f>B66-B42</f>
        <v>599.48601750212038</v>
      </c>
      <c r="E66" s="62">
        <f t="shared" si="0"/>
        <v>165</v>
      </c>
      <c r="F66" s="24" t="s">
        <v>737</v>
      </c>
      <c r="G66" s="774">
        <v>35</v>
      </c>
      <c r="H66" s="24"/>
      <c r="I66" s="24"/>
      <c r="J66" s="24"/>
      <c r="K66" s="24"/>
      <c r="L66" s="24"/>
      <c r="M66" s="24"/>
      <c r="N66" s="3"/>
      <c r="O66" s="3"/>
      <c r="P66" s="3"/>
      <c r="Q66" s="3"/>
      <c r="R66" s="3"/>
      <c r="S66" s="3"/>
      <c r="T66" s="3"/>
      <c r="U66" s="3"/>
    </row>
    <row r="67" spans="1:21" ht="14" thickBot="1" x14ac:dyDescent="0.2">
      <c r="A67" s="214">
        <v>3</v>
      </c>
      <c r="B67" s="771">
        <f>(B45*(1-(B46)^2))/(1+B46*COS(C67/57.29578))</f>
        <v>7286.6237888209216</v>
      </c>
      <c r="C67" s="214">
        <v>30</v>
      </c>
      <c r="D67" s="773">
        <f>B67-B42</f>
        <v>908.4867888209219</v>
      </c>
      <c r="E67" s="62">
        <f t="shared" si="0"/>
        <v>150</v>
      </c>
      <c r="F67" s="24" t="s">
        <v>737</v>
      </c>
      <c r="G67" s="774">
        <v>35</v>
      </c>
      <c r="H67" s="775"/>
      <c r="I67" s="776" t="s">
        <v>197</v>
      </c>
      <c r="J67" s="776"/>
      <c r="K67" s="776"/>
      <c r="L67" s="777"/>
      <c r="M67" s="24"/>
      <c r="N67" s="3"/>
      <c r="O67" s="3"/>
      <c r="P67" s="3"/>
      <c r="Q67" s="3"/>
      <c r="R67" s="3"/>
      <c r="S67" s="3"/>
      <c r="T67" s="3"/>
      <c r="U67" s="3"/>
    </row>
    <row r="68" spans="1:21" ht="14" thickBot="1" x14ac:dyDescent="0.2">
      <c r="A68" s="214">
        <v>4</v>
      </c>
      <c r="B68" s="771">
        <f>(B45*(1-(B46)^2))/(1+B46*COS(C68/57.29578))</f>
        <v>7838.8429783306747</v>
      </c>
      <c r="C68" s="214">
        <v>45</v>
      </c>
      <c r="D68" s="773">
        <f>B68-B42</f>
        <v>1460.705978330675</v>
      </c>
      <c r="E68" s="62">
        <f t="shared" si="0"/>
        <v>135</v>
      </c>
      <c r="F68" s="24" t="s">
        <v>737</v>
      </c>
      <c r="G68" s="774">
        <v>35</v>
      </c>
      <c r="H68" s="877" t="s">
        <v>675</v>
      </c>
      <c r="I68" s="25"/>
      <c r="J68" s="407"/>
      <c r="K68" s="778">
        <f>2*((ASIN(B42/(B42+C63)))*57.2958)</f>
        <v>17.400982397943942</v>
      </c>
      <c r="L68" s="880" t="s">
        <v>729</v>
      </c>
      <c r="M68" s="24"/>
      <c r="N68" s="3"/>
      <c r="O68" s="3"/>
      <c r="P68" s="3"/>
      <c r="Q68" s="3"/>
      <c r="R68" s="3"/>
      <c r="S68" s="3"/>
      <c r="T68" s="3"/>
      <c r="U68" s="3"/>
    </row>
    <row r="69" spans="1:21" ht="14" thickBot="1" x14ac:dyDescent="0.2">
      <c r="A69" s="214">
        <v>5</v>
      </c>
      <c r="B69" s="771">
        <f>(B45*(1-(B46)^2))/(1+B46*COS(C69/57.29578))</f>
        <v>8697.8936186138471</v>
      </c>
      <c r="C69" s="214">
        <v>60</v>
      </c>
      <c r="D69" s="773">
        <f>B69-B42</f>
        <v>2319.7566186138474</v>
      </c>
      <c r="E69" s="62">
        <f t="shared" si="0"/>
        <v>120</v>
      </c>
      <c r="F69" s="24" t="s">
        <v>737</v>
      </c>
      <c r="G69" s="774">
        <v>35</v>
      </c>
      <c r="H69" s="878" t="s">
        <v>676</v>
      </c>
      <c r="I69" s="25"/>
      <c r="J69" s="407"/>
      <c r="K69" s="879">
        <v>10</v>
      </c>
      <c r="L69" s="881" t="s">
        <v>729</v>
      </c>
      <c r="M69" s="24"/>
      <c r="N69" s="3"/>
      <c r="O69" s="3"/>
      <c r="P69" s="3"/>
      <c r="Q69" s="3"/>
      <c r="R69" s="3"/>
      <c r="S69" s="3"/>
      <c r="T69" s="3"/>
      <c r="U69" s="3"/>
    </row>
    <row r="70" spans="1:21" ht="14" thickBot="1" x14ac:dyDescent="0.2">
      <c r="A70" s="214">
        <v>6</v>
      </c>
      <c r="B70" s="771">
        <f>(B45*(1-(B46)^2))/(1+B46*COS(C70/57.29578))</f>
        <v>9970.292881925574</v>
      </c>
      <c r="C70" s="214">
        <v>75</v>
      </c>
      <c r="D70" s="773">
        <f>B70-B42</f>
        <v>3592.1558819255742</v>
      </c>
      <c r="E70" s="62">
        <f t="shared" si="0"/>
        <v>105</v>
      </c>
      <c r="F70" s="24" t="s">
        <v>737</v>
      </c>
      <c r="G70" s="774">
        <v>35</v>
      </c>
      <c r="H70" s="247" t="s">
        <v>282</v>
      </c>
      <c r="I70" s="25"/>
      <c r="J70" s="407"/>
      <c r="K70" s="778">
        <f>K68/2+K69</f>
        <v>18.700491198971971</v>
      </c>
      <c r="L70" s="880" t="s">
        <v>729</v>
      </c>
      <c r="M70" s="24"/>
      <c r="N70" s="3"/>
      <c r="O70" s="3"/>
      <c r="P70" s="3"/>
      <c r="Q70" s="3"/>
      <c r="R70" s="3"/>
      <c r="S70" s="3"/>
      <c r="T70" s="3"/>
      <c r="U70" s="3"/>
    </row>
    <row r="71" spans="1:21" ht="14" thickBot="1" x14ac:dyDescent="0.2">
      <c r="A71" s="214">
        <v>7</v>
      </c>
      <c r="B71" s="771">
        <f>(B45*(1-(B46)^2))/(1+B46*COS(C71/57.29578))</f>
        <v>11826.968218777867</v>
      </c>
      <c r="C71" s="214">
        <v>90</v>
      </c>
      <c r="D71" s="773">
        <f>B71-B42</f>
        <v>5448.8312187778674</v>
      </c>
      <c r="E71" s="62">
        <f t="shared" si="0"/>
        <v>90</v>
      </c>
      <c r="F71" s="24" t="s">
        <v>737</v>
      </c>
      <c r="G71" s="774">
        <v>35</v>
      </c>
      <c r="H71" s="247" t="s">
        <v>283</v>
      </c>
      <c r="I71" s="25"/>
      <c r="J71" s="407"/>
      <c r="K71" s="780">
        <f>'Antenna Pointing Losses'!K63</f>
        <v>1.8749999999999999E-2</v>
      </c>
      <c r="L71" s="779" t="s">
        <v>554</v>
      </c>
      <c r="M71" s="24"/>
      <c r="N71" s="3"/>
      <c r="O71" s="3"/>
      <c r="P71" s="3"/>
      <c r="Q71" s="3"/>
      <c r="R71" s="3"/>
      <c r="S71" s="3"/>
      <c r="T71" s="3"/>
      <c r="U71" s="3"/>
    </row>
    <row r="72" spans="1:21" ht="14" thickBot="1" x14ac:dyDescent="0.2">
      <c r="A72" s="214">
        <v>8</v>
      </c>
      <c r="B72" s="771">
        <f>(B45*(1-(B46)^2))/(1+B46*COS(C72/57.29578))</f>
        <v>14533.386185165687</v>
      </c>
      <c r="C72" s="214">
        <v>105</v>
      </c>
      <c r="D72" s="773">
        <f>B72-B42</f>
        <v>8155.2491851656878</v>
      </c>
      <c r="E72" s="62">
        <f t="shared" si="0"/>
        <v>75</v>
      </c>
      <c r="F72" s="24" t="s">
        <v>737</v>
      </c>
      <c r="G72" s="774">
        <v>35</v>
      </c>
      <c r="H72" s="247" t="s">
        <v>284</v>
      </c>
      <c r="I72" s="25"/>
      <c r="J72" s="407"/>
      <c r="K72" s="780">
        <f>'Antenna Pointing Losses'!K85</f>
        <v>1.8749999999999999E-2</v>
      </c>
      <c r="L72" s="779" t="s">
        <v>554</v>
      </c>
      <c r="M72" s="24"/>
      <c r="N72" s="3"/>
      <c r="O72" s="3"/>
      <c r="P72" s="3"/>
      <c r="Q72" s="3"/>
      <c r="R72" s="3"/>
      <c r="S72" s="3"/>
      <c r="T72" s="3"/>
      <c r="U72" s="3"/>
    </row>
    <row r="73" spans="1:21" ht="14" thickBot="1" x14ac:dyDescent="0.2">
      <c r="A73" s="214">
        <v>9</v>
      </c>
      <c r="B73" s="771">
        <f>(B45*(1-(B46)^2))/(1+B46*COS(C73/57.29578))</f>
        <v>18472.446576256712</v>
      </c>
      <c r="C73" s="214">
        <v>120</v>
      </c>
      <c r="D73" s="773">
        <f>B73-B42</f>
        <v>12094.309576256714</v>
      </c>
      <c r="E73" s="62">
        <f t="shared" si="0"/>
        <v>60</v>
      </c>
      <c r="F73" s="24" t="s">
        <v>737</v>
      </c>
      <c r="G73" s="774">
        <v>35</v>
      </c>
      <c r="H73" s="247" t="s">
        <v>196</v>
      </c>
      <c r="I73" s="25"/>
      <c r="J73" s="407"/>
      <c r="K73" s="778">
        <f>'Downlink Budget'!B30</f>
        <v>29.535039619741944</v>
      </c>
      <c r="L73" s="779" t="s">
        <v>554</v>
      </c>
      <c r="M73" s="24"/>
      <c r="N73" s="3"/>
      <c r="O73" s="3"/>
      <c r="P73" s="3"/>
      <c r="Q73" s="3"/>
      <c r="R73" s="3"/>
      <c r="S73" s="3"/>
      <c r="T73" s="3"/>
      <c r="U73" s="3"/>
    </row>
    <row r="74" spans="1:21" ht="14" thickBot="1" x14ac:dyDescent="0.2">
      <c r="A74" s="214">
        <v>10</v>
      </c>
      <c r="B74" s="771">
        <f>(B45*(1-(B46)^2))/(1+B46*COS(C74/57.29578))</f>
        <v>24075.965611934316</v>
      </c>
      <c r="C74" s="214">
        <v>135</v>
      </c>
      <c r="D74" s="773">
        <f>B74-B42</f>
        <v>17697.828611934317</v>
      </c>
      <c r="E74" s="62">
        <f t="shared" si="0"/>
        <v>45</v>
      </c>
      <c r="F74" s="24" t="s">
        <v>737</v>
      </c>
      <c r="G74" s="774">
        <v>40</v>
      </c>
      <c r="H74" s="619" t="s">
        <v>677</v>
      </c>
      <c r="I74" s="121"/>
      <c r="J74" s="289"/>
      <c r="K74" s="882">
        <f>'Uplink Budget'!B30</f>
        <v>45.32345485774848</v>
      </c>
      <c r="L74" s="781" t="s">
        <v>554</v>
      </c>
      <c r="M74" s="24"/>
      <c r="N74" s="3"/>
      <c r="O74" s="3"/>
      <c r="P74" s="3"/>
      <c r="Q74" s="3"/>
      <c r="R74" s="3"/>
      <c r="S74" s="3"/>
      <c r="T74" s="3"/>
      <c r="U74" s="3"/>
    </row>
    <row r="75" spans="1:21" x14ac:dyDescent="0.15">
      <c r="A75" s="214">
        <v>11</v>
      </c>
      <c r="B75" s="771">
        <f>(B45*(1-(B46)^2))/(1+B46*COS(C75/57.29578))</f>
        <v>31380.154349772623</v>
      </c>
      <c r="C75" s="214">
        <v>150</v>
      </c>
      <c r="D75" s="773">
        <f>B75-B42</f>
        <v>25002.017349772625</v>
      </c>
      <c r="E75" s="62">
        <f t="shared" si="0"/>
        <v>30</v>
      </c>
      <c r="F75" s="24" t="s">
        <v>737</v>
      </c>
      <c r="G75" s="774">
        <v>50</v>
      </c>
      <c r="H75" s="24"/>
      <c r="I75" s="24"/>
      <c r="J75" s="24"/>
      <c r="K75" s="24"/>
      <c r="L75" s="24"/>
      <c r="M75" s="24"/>
      <c r="N75" s="3"/>
      <c r="O75" s="3"/>
      <c r="P75" s="3"/>
      <c r="Q75" s="3"/>
      <c r="R75" s="3"/>
      <c r="S75" s="3"/>
      <c r="T75" s="3"/>
      <c r="U75" s="3"/>
    </row>
    <row r="76" spans="1:21" x14ac:dyDescent="0.15">
      <c r="A76" s="214">
        <v>12</v>
      </c>
      <c r="B76" s="771">
        <f>(B45*(1-(B46)^2))/(1+B46*COS(C76/57.29578))</f>
        <v>38775.073861854115</v>
      </c>
      <c r="C76" s="214">
        <v>165</v>
      </c>
      <c r="D76" s="773">
        <f>B76-B42</f>
        <v>32396.936861854116</v>
      </c>
      <c r="E76" s="62">
        <f>180-C76</f>
        <v>15</v>
      </c>
      <c r="F76" s="24" t="s">
        <v>737</v>
      </c>
      <c r="G76" s="774">
        <v>90</v>
      </c>
      <c r="H76" s="24"/>
      <c r="I76" s="24"/>
      <c r="J76" s="24"/>
      <c r="K76" s="24"/>
      <c r="L76" s="24"/>
      <c r="M76" s="24"/>
      <c r="N76" s="3"/>
      <c r="O76" s="3"/>
      <c r="P76" s="3"/>
      <c r="Q76" s="3"/>
      <c r="R76" s="3"/>
      <c r="S76" s="3"/>
      <c r="T76" s="3"/>
      <c r="U76" s="3"/>
    </row>
    <row r="77" spans="1:21" x14ac:dyDescent="0.15">
      <c r="A77" s="214">
        <v>13</v>
      </c>
      <c r="B77" s="771">
        <f>(B45*(1-(B46)^2))/(1+B46*COS(C77/57.29578))</f>
        <v>42164.136999997812</v>
      </c>
      <c r="C77" s="772">
        <v>179.99999</v>
      </c>
      <c r="D77" s="773">
        <f>B77-B42</f>
        <v>35785.99999999781</v>
      </c>
      <c r="E77" s="62">
        <f>180-C77</f>
        <v>1.0000000003174137E-5</v>
      </c>
      <c r="F77" s="24" t="s">
        <v>737</v>
      </c>
      <c r="G77" s="774">
        <v>170</v>
      </c>
      <c r="H77" s="24"/>
      <c r="I77" s="24"/>
      <c r="J77" s="24"/>
      <c r="K77" s="24"/>
      <c r="L77" s="24"/>
      <c r="M77" s="24"/>
      <c r="N77" s="3"/>
      <c r="O77" s="3"/>
      <c r="P77" s="3"/>
      <c r="Q77" s="3"/>
      <c r="R77" s="3"/>
      <c r="S77" s="3"/>
      <c r="T77" s="3"/>
      <c r="U77" s="3"/>
    </row>
    <row r="78" spans="1:21" x14ac:dyDescent="0.15">
      <c r="A78" s="782">
        <v>14</v>
      </c>
      <c r="B78" s="783">
        <f>(B45*(1-(B46)^2))/(1+B46*COS(C78/57.29578))</f>
        <v>41756.554391673679</v>
      </c>
      <c r="C78" s="784">
        <v>175</v>
      </c>
      <c r="D78" s="785">
        <f>B78-B42</f>
        <v>35378.417391673676</v>
      </c>
      <c r="E78" s="786">
        <f>180-C78</f>
        <v>5</v>
      </c>
      <c r="F78" s="607" t="s">
        <v>737</v>
      </c>
      <c r="G78" s="787">
        <v>160</v>
      </c>
      <c r="H78" s="607"/>
      <c r="I78" s="788" t="s">
        <v>285</v>
      </c>
      <c r="J78" s="607"/>
      <c r="K78" s="607"/>
      <c r="L78" s="607"/>
      <c r="M78" s="380"/>
      <c r="N78" s="3"/>
      <c r="O78" s="3"/>
      <c r="P78" s="3"/>
      <c r="Q78" s="3"/>
      <c r="R78" s="3"/>
      <c r="S78" s="3"/>
      <c r="T78" s="3"/>
      <c r="U78" s="3"/>
    </row>
    <row r="79" spans="1:21" x14ac:dyDescent="0.15">
      <c r="A79" s="3"/>
      <c r="B79" s="3" t="s">
        <v>512</v>
      </c>
      <c r="C79" s="3"/>
      <c r="D79" s="3"/>
      <c r="E79" s="3" t="s">
        <v>512</v>
      </c>
      <c r="F79" s="3"/>
      <c r="G79" s="3"/>
      <c r="H79" s="3"/>
      <c r="I79" s="3"/>
      <c r="J79" s="3"/>
      <c r="K79" s="3"/>
      <c r="L79" s="3"/>
      <c r="M79" s="3"/>
      <c r="N79" s="3"/>
      <c r="O79" s="3"/>
      <c r="P79" s="3"/>
      <c r="Q79" s="3"/>
      <c r="R79" s="3"/>
      <c r="S79" s="3"/>
      <c r="T79" s="3"/>
      <c r="U79" s="3"/>
    </row>
    <row r="80" spans="1:21" x14ac:dyDescent="0.15">
      <c r="A80" s="3"/>
      <c r="B80" s="3"/>
      <c r="C80" s="3"/>
      <c r="D80" s="3"/>
      <c r="E80" s="3"/>
      <c r="F80" s="3"/>
      <c r="G80" s="3"/>
      <c r="H80" s="3"/>
      <c r="I80" s="3"/>
      <c r="J80" s="3"/>
      <c r="K80" s="3"/>
      <c r="L80" s="3"/>
      <c r="M80" s="3"/>
      <c r="N80" s="3"/>
      <c r="O80" s="3"/>
      <c r="P80" s="3"/>
      <c r="Q80" s="3"/>
      <c r="R80" s="3"/>
      <c r="S80" s="3"/>
      <c r="T80" s="3"/>
      <c r="U80" s="3"/>
    </row>
    <row r="81" spans="1:21" x14ac:dyDescent="0.15">
      <c r="A81" s="3"/>
      <c r="B81" s="3"/>
      <c r="C81" s="3"/>
      <c r="D81" s="3"/>
      <c r="E81" s="3"/>
      <c r="F81" s="3"/>
      <c r="G81" s="3"/>
      <c r="H81" s="3"/>
      <c r="I81" s="3"/>
      <c r="J81" s="3"/>
      <c r="K81" s="3"/>
      <c r="L81" s="3"/>
      <c r="M81" s="3"/>
      <c r="N81" s="3"/>
      <c r="O81" s="3"/>
      <c r="P81" s="3"/>
      <c r="Q81" s="3"/>
      <c r="R81" s="3"/>
      <c r="S81" s="3"/>
      <c r="T81" s="3"/>
      <c r="U81" s="3"/>
    </row>
    <row r="82" spans="1:21" x14ac:dyDescent="0.15">
      <c r="A82" s="3"/>
      <c r="B82" s="3"/>
      <c r="C82" s="3"/>
      <c r="D82" s="3"/>
      <c r="E82" s="3"/>
      <c r="F82" s="3"/>
      <c r="G82" s="3"/>
      <c r="H82" s="3"/>
      <c r="I82" s="3"/>
      <c r="J82" s="3"/>
      <c r="K82" s="3"/>
      <c r="L82" s="3"/>
      <c r="M82" s="3"/>
      <c r="N82" s="3"/>
      <c r="O82" s="3"/>
      <c r="P82" s="3"/>
      <c r="Q82" s="3"/>
      <c r="R82" s="3"/>
      <c r="S82" s="3"/>
      <c r="T82" s="3"/>
      <c r="U82" s="3"/>
    </row>
    <row r="83" spans="1:21" x14ac:dyDescent="0.15">
      <c r="A83" s="3"/>
      <c r="B83" s="3"/>
      <c r="C83" s="3"/>
      <c r="D83" s="3"/>
      <c r="E83" s="3"/>
      <c r="F83" s="3"/>
      <c r="G83" s="3"/>
      <c r="H83" s="3"/>
      <c r="I83" s="3"/>
      <c r="J83" s="3"/>
      <c r="K83" s="3"/>
      <c r="L83" s="3"/>
      <c r="M83" s="3"/>
      <c r="N83" s="3"/>
      <c r="O83" s="3"/>
      <c r="P83" s="3"/>
      <c r="Q83" s="3"/>
      <c r="R83" s="3"/>
      <c r="S83" s="3"/>
      <c r="T83" s="3"/>
      <c r="U83" s="3"/>
    </row>
    <row r="84" spans="1:21" ht="14" thickBot="1" x14ac:dyDescent="0.2">
      <c r="A84" s="106"/>
      <c r="B84" s="106"/>
      <c r="C84" s="106"/>
      <c r="D84" s="106"/>
      <c r="E84" s="106"/>
      <c r="F84" s="106"/>
      <c r="G84" s="106"/>
      <c r="H84" s="106"/>
      <c r="I84" s="106"/>
      <c r="J84" s="106"/>
      <c r="K84" s="106"/>
      <c r="L84" s="106"/>
      <c r="M84" s="106"/>
      <c r="N84" s="106"/>
      <c r="O84" s="106"/>
      <c r="P84" s="106"/>
      <c r="Q84" s="106"/>
      <c r="R84" s="106"/>
      <c r="S84" s="106"/>
      <c r="T84" s="106"/>
      <c r="U84" s="106"/>
    </row>
    <row r="85" spans="1:21" ht="16" x14ac:dyDescent="0.2">
      <c r="A85" s="861" t="s">
        <v>312</v>
      </c>
      <c r="B85" s="24"/>
      <c r="C85" s="24"/>
      <c r="D85" s="843" t="s">
        <v>868</v>
      </c>
      <c r="E85" s="24"/>
      <c r="F85" s="24"/>
      <c r="G85" s="24"/>
      <c r="H85" s="24"/>
      <c r="I85" s="24"/>
      <c r="J85" s="24"/>
      <c r="K85" s="24"/>
      <c r="L85" s="24"/>
      <c r="M85" s="24"/>
      <c r="N85" s="24"/>
      <c r="O85" s="24"/>
      <c r="P85" s="24"/>
      <c r="Q85" s="24"/>
      <c r="R85" s="24"/>
      <c r="S85" s="24"/>
      <c r="T85" s="24"/>
      <c r="U85" s="24"/>
    </row>
    <row r="86" spans="1:21" x14ac:dyDescent="0.15">
      <c r="A86" s="3"/>
      <c r="B86" s="3"/>
      <c r="C86" s="3"/>
      <c r="D86" s="3"/>
      <c r="E86" s="3"/>
      <c r="F86" s="3"/>
      <c r="G86" s="3"/>
      <c r="H86" s="3"/>
      <c r="I86" s="3"/>
      <c r="J86" s="3"/>
      <c r="K86" s="3"/>
      <c r="L86" s="3"/>
      <c r="M86" s="3"/>
      <c r="N86" s="3"/>
      <c r="O86" s="3"/>
      <c r="P86" s="3"/>
      <c r="Q86" s="3"/>
      <c r="R86" s="3"/>
      <c r="S86" s="3"/>
      <c r="T86" s="3"/>
      <c r="U86" s="3"/>
    </row>
    <row r="87" spans="1:21" x14ac:dyDescent="0.15">
      <c r="A87" s="4" t="s">
        <v>302</v>
      </c>
      <c r="B87" s="3"/>
      <c r="C87" s="3"/>
      <c r="D87" s="3"/>
      <c r="E87" s="3"/>
      <c r="F87" s="3"/>
      <c r="G87" s="3"/>
      <c r="H87" s="3"/>
      <c r="I87" s="3"/>
      <c r="J87" s="3"/>
      <c r="K87" s="3"/>
      <c r="L87" s="3"/>
      <c r="M87" s="3"/>
      <c r="N87" s="3"/>
      <c r="O87" s="3"/>
      <c r="P87" s="3"/>
      <c r="Q87" s="3"/>
      <c r="R87" s="3"/>
      <c r="S87" s="3"/>
      <c r="T87" s="3"/>
      <c r="U87" s="3"/>
    </row>
    <row r="88" spans="1:21" ht="14" x14ac:dyDescent="0.2">
      <c r="A88" s="792" t="s">
        <v>513</v>
      </c>
      <c r="B88" s="793" t="s">
        <v>514</v>
      </c>
      <c r="C88" s="792" t="s">
        <v>515</v>
      </c>
      <c r="D88" s="792" t="s">
        <v>289</v>
      </c>
      <c r="E88" s="3"/>
      <c r="F88" s="3"/>
      <c r="G88" s="3"/>
      <c r="H88" s="3"/>
      <c r="I88" s="3"/>
      <c r="J88" s="3"/>
      <c r="K88" s="3"/>
      <c r="L88" s="3"/>
      <c r="M88" s="3"/>
      <c r="N88" s="3"/>
      <c r="O88" s="3"/>
      <c r="P88" s="3"/>
      <c r="Q88" s="3"/>
      <c r="R88" s="3"/>
      <c r="S88" s="3"/>
      <c r="T88" s="3"/>
      <c r="U88" s="3"/>
    </row>
    <row r="89" spans="1:21" ht="17.25" customHeight="1" x14ac:dyDescent="0.2">
      <c r="A89" s="794" t="s">
        <v>294</v>
      </c>
      <c r="B89" s="795">
        <f>B91-B90</f>
        <v>35786.018697888401</v>
      </c>
      <c r="C89" s="794" t="s">
        <v>517</v>
      </c>
      <c r="D89" s="794" t="s">
        <v>295</v>
      </c>
      <c r="E89" s="3"/>
      <c r="F89" s="3"/>
      <c r="G89" s="3"/>
      <c r="H89" s="3"/>
      <c r="I89" s="3"/>
      <c r="J89" s="3"/>
      <c r="K89" s="3"/>
      <c r="L89" s="3"/>
      <c r="M89" s="3"/>
      <c r="N89" s="3"/>
      <c r="O89" s="3"/>
      <c r="P89" s="3"/>
      <c r="Q89" s="3"/>
      <c r="R89" s="3"/>
      <c r="S89" s="3"/>
      <c r="T89" s="3"/>
      <c r="U89" s="3"/>
    </row>
    <row r="90" spans="1:21" ht="14" x14ac:dyDescent="0.2">
      <c r="A90" s="794" t="s">
        <v>296</v>
      </c>
      <c r="B90" s="795">
        <v>6378.1369999999997</v>
      </c>
      <c r="C90" s="794" t="s">
        <v>517</v>
      </c>
      <c r="D90" s="796"/>
      <c r="E90" s="3"/>
      <c r="F90" s="3"/>
      <c r="G90" s="3"/>
      <c r="H90" s="3"/>
      <c r="I90" s="3"/>
      <c r="J90" s="3"/>
      <c r="K90" s="3"/>
      <c r="L90" s="3"/>
      <c r="M90" s="3"/>
      <c r="N90" s="3"/>
      <c r="O90" s="3"/>
      <c r="P90" s="3"/>
      <c r="Q90" s="3"/>
      <c r="R90" s="3"/>
      <c r="S90" s="3"/>
      <c r="T90" s="3"/>
      <c r="U90" s="3"/>
    </row>
    <row r="91" spans="1:21" ht="14" x14ac:dyDescent="0.2">
      <c r="A91" s="794" t="s">
        <v>297</v>
      </c>
      <c r="B91" s="795">
        <f>(398600000000000*(86400*(365.25/366.25)/(2*PI()))^2)^(1/3)/1000</f>
        <v>42164.155697888404</v>
      </c>
      <c r="C91" s="794" t="s">
        <v>517</v>
      </c>
      <c r="D91" s="90" t="s">
        <v>298</v>
      </c>
      <c r="E91" s="3"/>
      <c r="F91" s="3"/>
      <c r="G91" s="3"/>
      <c r="H91" s="3"/>
      <c r="I91" s="3"/>
      <c r="J91" s="3"/>
      <c r="K91" s="3"/>
      <c r="L91" s="3"/>
      <c r="M91" s="3"/>
      <c r="N91" s="3"/>
      <c r="O91" s="3"/>
      <c r="P91" s="3"/>
      <c r="Q91" s="3"/>
      <c r="R91" s="3"/>
      <c r="S91" s="3"/>
      <c r="T91" s="3"/>
      <c r="U91" s="3"/>
    </row>
    <row r="92" spans="1:21" ht="14" x14ac:dyDescent="0.2">
      <c r="A92" s="794" t="s">
        <v>299</v>
      </c>
      <c r="B92" s="795">
        <v>37410</v>
      </c>
      <c r="C92" s="3" t="s">
        <v>517</v>
      </c>
      <c r="D92" s="3" t="s">
        <v>303</v>
      </c>
      <c r="E92" s="3"/>
      <c r="F92" s="3"/>
      <c r="G92" s="3"/>
      <c r="H92" s="3"/>
      <c r="I92" s="3"/>
      <c r="J92" s="3"/>
      <c r="K92" s="3"/>
      <c r="L92" s="3"/>
      <c r="M92" s="3"/>
      <c r="N92" s="3"/>
      <c r="O92" s="3"/>
      <c r="P92" s="3"/>
      <c r="Q92" s="3"/>
      <c r="R92" s="3"/>
      <c r="S92" s="3"/>
      <c r="T92" s="3"/>
      <c r="U92" s="3"/>
    </row>
    <row r="93" spans="1:21" ht="14" x14ac:dyDescent="0.2">
      <c r="A93" s="794" t="s">
        <v>300</v>
      </c>
      <c r="B93" s="799">
        <v>35786.019</v>
      </c>
      <c r="C93" s="794" t="s">
        <v>517</v>
      </c>
      <c r="D93" s="3" t="s">
        <v>304</v>
      </c>
      <c r="E93" s="3"/>
      <c r="F93" s="3"/>
      <c r="G93" s="3"/>
      <c r="H93" s="3"/>
      <c r="I93" s="3"/>
      <c r="J93" s="3"/>
      <c r="K93" s="3"/>
      <c r="L93" s="3"/>
      <c r="M93" s="3"/>
      <c r="N93" s="3"/>
      <c r="O93" s="3"/>
      <c r="P93" s="3"/>
      <c r="Q93" s="3"/>
      <c r="R93" s="3"/>
      <c r="S93" s="3"/>
      <c r="T93" s="3"/>
      <c r="U93" s="3"/>
    </row>
    <row r="94" spans="1:21" ht="14" x14ac:dyDescent="0.2">
      <c r="A94" s="794" t="s">
        <v>301</v>
      </c>
      <c r="B94" s="799">
        <v>41678.957000000002</v>
      </c>
      <c r="C94" s="794" t="s">
        <v>517</v>
      </c>
      <c r="D94" s="3" t="s">
        <v>313</v>
      </c>
      <c r="E94" s="3"/>
      <c r="F94" s="3"/>
      <c r="G94" s="3"/>
      <c r="H94" s="3"/>
      <c r="I94" s="3"/>
      <c r="J94" s="3"/>
      <c r="K94" s="3"/>
      <c r="L94" s="3"/>
      <c r="M94" s="3"/>
      <c r="N94" s="3"/>
      <c r="O94" s="3"/>
      <c r="P94" s="3"/>
      <c r="Q94" s="3"/>
      <c r="R94" s="3"/>
      <c r="S94" s="3"/>
      <c r="T94" s="3"/>
      <c r="U94" s="3"/>
    </row>
    <row r="95" spans="1:21" ht="14" thickBot="1" x14ac:dyDescent="0.2">
      <c r="A95" s="3" t="s">
        <v>512</v>
      </c>
      <c r="B95" s="797" t="s">
        <v>512</v>
      </c>
      <c r="C95" s="3" t="s">
        <v>512</v>
      </c>
      <c r="D95" s="3"/>
      <c r="E95" s="3"/>
      <c r="F95" s="3"/>
      <c r="G95" s="3"/>
      <c r="H95" s="3"/>
      <c r="I95" s="3"/>
      <c r="J95" s="3"/>
      <c r="K95" s="3"/>
      <c r="L95" s="3"/>
      <c r="M95" s="3"/>
      <c r="N95" s="3"/>
      <c r="O95" s="857" t="s">
        <v>754</v>
      </c>
      <c r="P95" s="3"/>
      <c r="Q95" s="3"/>
      <c r="R95" s="3"/>
      <c r="S95" s="3"/>
      <c r="T95" s="3"/>
      <c r="U95" s="3"/>
    </row>
    <row r="96" spans="1:21" ht="14" thickBot="1" x14ac:dyDescent="0.2">
      <c r="A96" s="3" t="s">
        <v>512</v>
      </c>
      <c r="B96" s="821" t="s">
        <v>847</v>
      </c>
      <c r="C96" s="3"/>
      <c r="D96" s="3"/>
      <c r="E96" s="3"/>
      <c r="F96" s="3"/>
      <c r="G96" s="822" t="s">
        <v>62</v>
      </c>
      <c r="H96" s="3"/>
      <c r="I96" s="3"/>
      <c r="J96" s="3"/>
      <c r="K96" s="3"/>
      <c r="L96" s="3"/>
      <c r="M96" s="821" t="s">
        <v>850</v>
      </c>
      <c r="N96" s="3"/>
      <c r="O96" s="823" t="s">
        <v>868</v>
      </c>
      <c r="P96" s="3"/>
      <c r="Q96" s="3"/>
      <c r="R96" s="3"/>
      <c r="S96" s="3"/>
      <c r="T96" s="3"/>
      <c r="U96" s="3"/>
    </row>
    <row r="97" spans="1:21" ht="14" thickBot="1" x14ac:dyDescent="0.2">
      <c r="A97" s="3"/>
      <c r="B97" s="857" t="s">
        <v>293</v>
      </c>
      <c r="C97" s="3"/>
      <c r="D97" s="3"/>
      <c r="E97" s="3"/>
      <c r="F97" s="3"/>
      <c r="G97" s="3"/>
      <c r="H97" s="3"/>
      <c r="I97" s="3"/>
      <c r="J97" s="3"/>
      <c r="K97" s="3"/>
      <c r="L97" s="3"/>
      <c r="M97" s="3"/>
      <c r="N97" s="3"/>
      <c r="O97" s="857" t="s">
        <v>512</v>
      </c>
      <c r="P97" s="3"/>
      <c r="Q97" s="3"/>
      <c r="R97" s="3"/>
      <c r="S97" s="3"/>
      <c r="T97" s="3"/>
      <c r="U97" s="3"/>
    </row>
    <row r="98" spans="1:21" ht="14" thickBot="1" x14ac:dyDescent="0.2">
      <c r="A98" s="3" t="s">
        <v>307</v>
      </c>
      <c r="B98" s="844">
        <v>40</v>
      </c>
      <c r="C98" s="3" t="s">
        <v>729</v>
      </c>
      <c r="D98" s="27" t="s">
        <v>309</v>
      </c>
      <c r="E98" s="3"/>
      <c r="F98" s="3"/>
      <c r="G98" s="3"/>
      <c r="H98" s="3"/>
      <c r="I98" s="3"/>
      <c r="J98" s="3"/>
      <c r="K98" s="3"/>
      <c r="L98" s="3"/>
      <c r="M98" s="833" t="s">
        <v>307</v>
      </c>
      <c r="N98" s="3"/>
      <c r="O98" s="844">
        <v>40</v>
      </c>
      <c r="P98" s="3" t="s">
        <v>729</v>
      </c>
      <c r="Q98" s="3"/>
      <c r="R98" s="3"/>
      <c r="S98" s="3"/>
      <c r="T98" s="3"/>
      <c r="U98" s="3"/>
    </row>
    <row r="99" spans="1:21" ht="14" thickBot="1" x14ac:dyDescent="0.2">
      <c r="A99" s="3"/>
      <c r="B99" s="845" t="s">
        <v>512</v>
      </c>
      <c r="C99" s="3"/>
      <c r="D99" s="3"/>
      <c r="E99" s="3"/>
      <c r="F99" s="3"/>
      <c r="G99" s="3"/>
      <c r="H99" s="3"/>
      <c r="I99" s="3"/>
      <c r="J99" s="3"/>
      <c r="K99" s="3"/>
      <c r="L99" s="3"/>
      <c r="M99" s="617"/>
      <c r="N99" s="3"/>
      <c r="O99" s="3"/>
      <c r="P99" s="3"/>
      <c r="Q99" s="3"/>
      <c r="R99" s="3"/>
      <c r="S99" s="3"/>
      <c r="T99" s="3"/>
      <c r="U99" s="3"/>
    </row>
    <row r="100" spans="1:21" ht="14" thickBot="1" x14ac:dyDescent="0.2">
      <c r="A100" s="3" t="s">
        <v>308</v>
      </c>
      <c r="B100" s="844">
        <v>-105</v>
      </c>
      <c r="C100" s="3" t="s">
        <v>729</v>
      </c>
      <c r="D100" s="27" t="s">
        <v>310</v>
      </c>
      <c r="E100" s="3"/>
      <c r="F100" s="3"/>
      <c r="G100" s="3"/>
      <c r="H100" s="3"/>
      <c r="I100" s="3"/>
      <c r="J100" s="3"/>
      <c r="K100" s="3"/>
      <c r="L100" s="3"/>
      <c r="M100" s="833" t="s">
        <v>308</v>
      </c>
      <c r="N100" s="3"/>
      <c r="O100" s="844">
        <v>-116</v>
      </c>
      <c r="P100" s="3" t="s">
        <v>729</v>
      </c>
      <c r="Q100" s="3"/>
      <c r="R100" s="3"/>
      <c r="S100" s="3"/>
      <c r="T100" s="3"/>
      <c r="U100" s="3"/>
    </row>
    <row r="101" spans="1:21" ht="14" thickBot="1" x14ac:dyDescent="0.2">
      <c r="A101" s="3"/>
      <c r="B101" s="899">
        <f>(B100-B102)</f>
        <v>27</v>
      </c>
      <c r="C101" s="3"/>
      <c r="D101" s="3"/>
      <c r="E101" s="3"/>
      <c r="F101" s="3"/>
      <c r="G101" s="3"/>
      <c r="H101" s="3"/>
      <c r="I101" s="3"/>
      <c r="J101" s="3"/>
      <c r="K101" s="3"/>
      <c r="L101" s="3"/>
      <c r="M101" s="617"/>
      <c r="N101" s="3"/>
      <c r="O101" s="899">
        <f>O100-O102</f>
        <v>16</v>
      </c>
      <c r="P101" s="3"/>
      <c r="Q101" s="3"/>
      <c r="R101" s="3"/>
      <c r="S101" s="3"/>
      <c r="T101" s="3"/>
      <c r="U101" s="3"/>
    </row>
    <row r="102" spans="1:21" ht="14" thickBot="1" x14ac:dyDescent="0.2">
      <c r="A102" s="3" t="s">
        <v>22</v>
      </c>
      <c r="B102" s="844">
        <v>-132</v>
      </c>
      <c r="C102" s="3" t="s">
        <v>729</v>
      </c>
      <c r="D102" s="3" t="s">
        <v>42</v>
      </c>
      <c r="E102" s="3"/>
      <c r="F102" s="3"/>
      <c r="G102" s="3"/>
      <c r="H102" s="3"/>
      <c r="I102" s="3"/>
      <c r="J102" s="3"/>
      <c r="K102" s="3"/>
      <c r="L102" s="3"/>
      <c r="M102" s="871" t="s">
        <v>618</v>
      </c>
      <c r="N102" s="3"/>
      <c r="O102" s="872">
        <f>B102</f>
        <v>-132</v>
      </c>
      <c r="P102" s="3" t="s">
        <v>729</v>
      </c>
      <c r="Q102" s="3" t="s">
        <v>619</v>
      </c>
      <c r="R102" s="3"/>
      <c r="S102" s="3"/>
      <c r="T102" s="3"/>
      <c r="U102" s="3"/>
    </row>
    <row r="103" spans="1:21" ht="14" thickBot="1" x14ac:dyDescent="0.2">
      <c r="A103" s="3"/>
      <c r="B103" s="3"/>
      <c r="C103" s="3"/>
      <c r="D103" s="3"/>
      <c r="E103" s="3"/>
      <c r="F103" s="3"/>
      <c r="G103" s="3"/>
      <c r="H103" s="3"/>
      <c r="I103" s="3"/>
      <c r="J103" s="3"/>
      <c r="K103" s="3"/>
      <c r="L103" s="3"/>
      <c r="M103" s="617"/>
      <c r="N103" s="3"/>
      <c r="O103" s="3"/>
      <c r="P103" s="3"/>
      <c r="Q103" s="3"/>
      <c r="R103" s="3"/>
      <c r="S103" s="3"/>
      <c r="T103" s="3"/>
      <c r="U103" s="3"/>
    </row>
    <row r="104" spans="1:21" ht="14" thickBot="1" x14ac:dyDescent="0.2">
      <c r="A104" s="3" t="s">
        <v>311</v>
      </c>
      <c r="B104" s="813">
        <f>SQRT($B$91^2+$B$90^2-2*$B$91*$B$90*COS(B110/57.29578))</f>
        <v>38097.003575855539</v>
      </c>
      <c r="C104" s="3" t="s">
        <v>517</v>
      </c>
      <c r="D104" s="3" t="s">
        <v>43</v>
      </c>
      <c r="E104" s="3"/>
      <c r="F104" s="3"/>
      <c r="G104" s="3"/>
      <c r="H104" s="3"/>
      <c r="I104" s="3"/>
      <c r="J104" s="3"/>
      <c r="K104" s="3"/>
      <c r="L104" s="3"/>
      <c r="M104" s="841" t="s">
        <v>311</v>
      </c>
      <c r="N104" s="3"/>
      <c r="O104" s="813">
        <f>SQRT($B$91^2+$B$90^2-2*$B$91*$B$90*COS(O110/57.29578))</f>
        <v>37715.181976926513</v>
      </c>
      <c r="P104" s="3" t="s">
        <v>517</v>
      </c>
      <c r="Q104" s="3"/>
      <c r="R104" s="3"/>
      <c r="S104" s="3"/>
      <c r="T104" s="3"/>
      <c r="U104" s="3"/>
    </row>
    <row r="105" spans="1:21" ht="14" thickBot="1" x14ac:dyDescent="0.2">
      <c r="A105" s="3"/>
      <c r="B105" s="3"/>
      <c r="C105" s="3"/>
      <c r="D105" s="3"/>
      <c r="E105" s="3"/>
      <c r="F105" s="3"/>
      <c r="G105" s="3"/>
      <c r="H105" s="3"/>
      <c r="I105" s="3"/>
      <c r="J105" s="3"/>
      <c r="K105" s="3"/>
      <c r="L105" s="3"/>
      <c r="M105" s="617"/>
      <c r="N105" s="3"/>
      <c r="O105" s="3"/>
      <c r="P105" s="3"/>
      <c r="Q105" s="3"/>
      <c r="R105" s="3"/>
      <c r="S105" s="3"/>
      <c r="T105" s="3"/>
      <c r="U105" s="3"/>
    </row>
    <row r="106" spans="1:21" ht="14" thickBot="1" x14ac:dyDescent="0.2">
      <c r="A106" s="3" t="s">
        <v>322</v>
      </c>
      <c r="B106" s="865">
        <f>57.29578*ATAN((COS(B110/57.29578)-($B$90/$B$91))/SIN(B110/57.29578))</f>
        <v>36.015200720193697</v>
      </c>
      <c r="C106" s="3" t="s">
        <v>729</v>
      </c>
      <c r="D106" s="3" t="s">
        <v>44</v>
      </c>
      <c r="E106" s="3"/>
      <c r="F106" s="3"/>
      <c r="G106" s="3"/>
      <c r="H106" s="3"/>
      <c r="I106" s="3"/>
      <c r="J106" s="3"/>
      <c r="K106" s="3"/>
      <c r="L106" s="3"/>
      <c r="M106" s="833" t="s">
        <v>322</v>
      </c>
      <c r="N106" s="3"/>
      <c r="O106" s="865">
        <f>57.29578*ATAN((COS(O110/57.29578)-($B$90/$B$91))/SIN(O110/57.29578))</f>
        <v>40.8529438611234</v>
      </c>
      <c r="P106" s="3" t="s">
        <v>729</v>
      </c>
      <c r="Q106" s="3"/>
      <c r="R106" s="3"/>
      <c r="S106" s="3"/>
      <c r="T106" s="3"/>
      <c r="U106" s="3"/>
    </row>
    <row r="107" spans="1:21" ht="14" thickBot="1" x14ac:dyDescent="0.2">
      <c r="A107" s="3"/>
      <c r="B107" s="899">
        <f>57.29578*ATAN(SIN($B$101/57.29578)/((-SIN($B$98/57.29578)*COS($B$101/57.29578))))</f>
        <v>-38.403190005109394</v>
      </c>
      <c r="C107" s="3"/>
      <c r="D107" s="3"/>
      <c r="E107" s="3"/>
      <c r="F107" s="3"/>
      <c r="G107" s="3"/>
      <c r="H107" s="3"/>
      <c r="I107" s="3"/>
      <c r="J107" s="3"/>
      <c r="K107" s="3"/>
      <c r="L107" s="3"/>
      <c r="M107" s="833"/>
      <c r="N107" s="3"/>
      <c r="O107" s="899">
        <f>57.29578*ATAN(SIN(O101/57.29578)/((-SIN(O98/57.29578)*COS(O101/57.29578))))</f>
        <v>-24.041489294001764</v>
      </c>
      <c r="P107" s="3"/>
      <c r="Q107" s="3"/>
      <c r="R107" s="3"/>
      <c r="S107" s="3"/>
      <c r="T107" s="3"/>
      <c r="U107" s="3"/>
    </row>
    <row r="108" spans="1:21" ht="14" thickBot="1" x14ac:dyDescent="0.2">
      <c r="A108" s="3" t="s">
        <v>291</v>
      </c>
      <c r="B108" s="865">
        <f>'GEO Azimuth Calc Data'!E19</f>
        <v>218.40319000510939</v>
      </c>
      <c r="C108" s="3" t="s">
        <v>729</v>
      </c>
      <c r="D108" s="3" t="s">
        <v>292</v>
      </c>
      <c r="E108" s="3"/>
      <c r="F108" s="3"/>
      <c r="G108" s="3"/>
      <c r="H108" s="3"/>
      <c r="I108" s="3"/>
      <c r="J108" s="3"/>
      <c r="K108" s="3"/>
      <c r="L108" s="3"/>
      <c r="M108" s="833" t="s">
        <v>291</v>
      </c>
      <c r="N108" s="3"/>
      <c r="O108" s="865">
        <f>'GEO Azimuth Calc Data'!E40</f>
        <v>204.04148929400176</v>
      </c>
      <c r="P108" s="859" t="s">
        <v>729</v>
      </c>
      <c r="Q108" s="3"/>
      <c r="R108" s="3"/>
      <c r="S108" s="3"/>
      <c r="T108" s="3"/>
      <c r="U108" s="3"/>
    </row>
    <row r="109" spans="1:21" ht="14" thickBot="1" x14ac:dyDescent="0.2">
      <c r="A109" s="3"/>
      <c r="B109" s="3" t="s">
        <v>512</v>
      </c>
      <c r="C109" s="3"/>
      <c r="D109" s="3"/>
      <c r="E109" s="3"/>
      <c r="F109" s="3"/>
      <c r="G109" s="3"/>
      <c r="H109" s="3"/>
      <c r="I109" s="3"/>
      <c r="J109" s="3"/>
      <c r="K109" s="3"/>
      <c r="L109" s="3"/>
      <c r="M109" s="3"/>
      <c r="N109" s="3"/>
      <c r="O109" s="3"/>
      <c r="P109" s="3"/>
      <c r="Q109" s="3"/>
      <c r="R109" s="3"/>
      <c r="S109" s="3"/>
      <c r="T109" s="3"/>
      <c r="U109" s="3"/>
    </row>
    <row r="110" spans="1:21" ht="14" thickBot="1" x14ac:dyDescent="0.2">
      <c r="A110" s="3" t="s">
        <v>290</v>
      </c>
      <c r="B110" s="850">
        <f>57.29578*ACOS(COS(B98/57.29578)*COS(B101/57.29578))</f>
        <v>46.956721408127869</v>
      </c>
      <c r="C110" s="3" t="s">
        <v>729</v>
      </c>
      <c r="D110" s="3" t="s">
        <v>48</v>
      </c>
      <c r="E110" s="3"/>
      <c r="F110" s="3"/>
      <c r="G110" s="3"/>
      <c r="H110" s="3"/>
      <c r="I110" s="3"/>
      <c r="J110" s="3"/>
      <c r="K110" s="3"/>
      <c r="L110" s="3"/>
      <c r="M110" s="3" t="s">
        <v>290</v>
      </c>
      <c r="N110" s="3"/>
      <c r="O110" s="850">
        <f>57.29578*ACOS(COS(O98/57.29578)*COS(O101/57.29578))</f>
        <v>42.576962974465786</v>
      </c>
      <c r="P110" s="3" t="s">
        <v>729</v>
      </c>
      <c r="Q110" s="3"/>
      <c r="R110" s="3"/>
      <c r="S110" s="3"/>
      <c r="T110" s="3"/>
      <c r="U110" s="3"/>
    </row>
    <row r="111" spans="1:21" x14ac:dyDescent="0.15">
      <c r="A111" s="3"/>
      <c r="B111" s="846"/>
      <c r="C111" s="3"/>
      <c r="D111" s="3"/>
      <c r="E111" s="3"/>
      <c r="F111" s="3"/>
      <c r="G111" s="3"/>
      <c r="H111" s="3"/>
      <c r="I111" s="3"/>
      <c r="J111" s="3"/>
      <c r="K111" s="3"/>
      <c r="L111" s="3"/>
      <c r="M111" s="3"/>
      <c r="N111" s="3"/>
      <c r="O111" s="497"/>
      <c r="P111" s="3"/>
      <c r="Q111" s="3"/>
      <c r="R111" s="3"/>
      <c r="S111" s="3"/>
      <c r="T111" s="3"/>
      <c r="U111" s="3"/>
    </row>
    <row r="112" spans="1:21" x14ac:dyDescent="0.15">
      <c r="A112" s="3"/>
      <c r="B112" s="846" t="s">
        <v>512</v>
      </c>
      <c r="C112" s="3"/>
      <c r="D112" s="3"/>
      <c r="E112" s="3"/>
      <c r="F112" s="3"/>
      <c r="G112" s="3"/>
      <c r="H112" s="3"/>
      <c r="I112" s="3"/>
      <c r="J112" s="3"/>
      <c r="K112" s="3"/>
      <c r="L112" s="3"/>
      <c r="M112" s="3"/>
      <c r="N112" s="3"/>
      <c r="O112" s="497"/>
      <c r="P112" s="3"/>
      <c r="Q112" s="3"/>
      <c r="R112" s="3"/>
      <c r="S112" s="3"/>
      <c r="T112" s="3"/>
      <c r="U112" s="3"/>
    </row>
    <row r="113" spans="1:21" x14ac:dyDescent="0.15">
      <c r="A113" s="3"/>
      <c r="B113" s="846"/>
      <c r="C113" s="3"/>
      <c r="D113" s="3"/>
      <c r="E113" s="3"/>
      <c r="F113" s="3"/>
      <c r="G113" s="3"/>
      <c r="H113" s="3"/>
      <c r="I113" s="3"/>
      <c r="J113" s="3"/>
      <c r="K113" s="3"/>
      <c r="L113" s="3"/>
      <c r="M113" s="3"/>
      <c r="N113" s="3"/>
      <c r="O113" s="497"/>
      <c r="P113" s="3"/>
      <c r="Q113" s="3"/>
      <c r="R113" s="3"/>
      <c r="S113" s="3"/>
      <c r="T113" s="3"/>
      <c r="U113" s="3"/>
    </row>
    <row r="114" spans="1:21" ht="14" thickBot="1" x14ac:dyDescent="0.2">
      <c r="A114" s="106"/>
      <c r="B114" s="106"/>
      <c r="C114" s="106"/>
      <c r="D114" s="106"/>
      <c r="E114" s="106"/>
      <c r="F114" s="106"/>
      <c r="G114" s="3"/>
      <c r="H114" s="106"/>
      <c r="I114" s="106"/>
      <c r="J114" s="106"/>
      <c r="K114" s="106"/>
      <c r="L114" s="106"/>
      <c r="M114" s="106"/>
      <c r="N114" s="106"/>
      <c r="O114" s="106"/>
      <c r="P114" s="106"/>
      <c r="Q114" s="106"/>
      <c r="R114" s="106"/>
      <c r="S114" s="106"/>
      <c r="T114" s="106"/>
      <c r="U114" s="106"/>
    </row>
    <row r="115" spans="1:21" ht="16" x14ac:dyDescent="0.2">
      <c r="A115" s="860" t="s">
        <v>756</v>
      </c>
      <c r="B115" s="627"/>
      <c r="C115" s="124"/>
      <c r="D115" s="124"/>
      <c r="E115" s="124"/>
      <c r="F115" s="124"/>
      <c r="G115" s="239" t="s">
        <v>868</v>
      </c>
      <c r="H115" s="124"/>
      <c r="I115" s="124"/>
      <c r="J115" s="124"/>
      <c r="K115" s="124"/>
      <c r="L115" s="124"/>
      <c r="M115" s="124"/>
      <c r="N115" s="124"/>
      <c r="O115" s="124"/>
      <c r="P115" s="124"/>
      <c r="Q115" s="124"/>
      <c r="R115" s="24"/>
      <c r="S115" s="24"/>
      <c r="T115" s="24"/>
      <c r="U115" s="24"/>
    </row>
    <row r="116" spans="1:21" x14ac:dyDescent="0.15">
      <c r="A116" s="3"/>
      <c r="B116" s="219"/>
      <c r="C116" s="51"/>
      <c r="D116" s="3"/>
      <c r="E116" s="51"/>
      <c r="F116" s="3"/>
      <c r="G116" s="3"/>
      <c r="H116" s="51"/>
      <c r="I116" s="3"/>
      <c r="J116" s="3"/>
      <c r="K116" s="3"/>
      <c r="L116" s="3"/>
      <c r="M116" s="3"/>
      <c r="N116" s="3"/>
      <c r="O116" s="3"/>
      <c r="P116" s="3"/>
      <c r="Q116" s="3"/>
      <c r="R116" s="3"/>
      <c r="S116" s="3"/>
      <c r="T116" s="3"/>
      <c r="U116" s="3"/>
    </row>
    <row r="117" spans="1:21" x14ac:dyDescent="0.15">
      <c r="A117" s="51"/>
      <c r="B117" s="218"/>
      <c r="C117" s="63"/>
      <c r="D117" s="3"/>
      <c r="E117" s="33"/>
      <c r="F117" s="3"/>
      <c r="G117" s="3"/>
      <c r="H117" s="34"/>
      <c r="I117" s="3"/>
      <c r="J117" s="3"/>
      <c r="K117" s="3"/>
      <c r="L117" s="3"/>
      <c r="M117" s="831"/>
      <c r="N117" s="832"/>
      <c r="O117" s="702"/>
      <c r="P117" s="3"/>
      <c r="Q117" s="3"/>
      <c r="R117" s="3"/>
      <c r="S117" s="3"/>
      <c r="T117" s="3"/>
      <c r="U117" s="3"/>
    </row>
    <row r="118" spans="1:21" x14ac:dyDescent="0.15">
      <c r="A118" s="51"/>
      <c r="B118" s="218"/>
      <c r="C118" s="63"/>
      <c r="D118" s="3"/>
      <c r="E118" s="33"/>
      <c r="F118" s="3"/>
      <c r="G118" s="3"/>
      <c r="H118" s="34"/>
      <c r="I118" s="3"/>
      <c r="J118" s="3"/>
      <c r="K118" s="3"/>
      <c r="L118" s="3"/>
      <c r="M118" s="3"/>
      <c r="N118" s="3"/>
      <c r="O118" s="3"/>
      <c r="P118" s="3"/>
      <c r="Q118" s="3"/>
      <c r="R118" s="3"/>
      <c r="S118" s="3"/>
      <c r="T118" s="3"/>
      <c r="U118" s="3"/>
    </row>
    <row r="119" spans="1:21" x14ac:dyDescent="0.15">
      <c r="A119" s="51"/>
      <c r="B119" s="218"/>
      <c r="C119" s="63"/>
      <c r="D119" s="3"/>
      <c r="E119" s="33"/>
      <c r="F119" s="3"/>
      <c r="G119" s="3"/>
      <c r="H119" s="34"/>
      <c r="I119" s="3"/>
      <c r="J119" s="3"/>
      <c r="K119" s="3"/>
      <c r="L119" s="3"/>
      <c r="M119" s="3"/>
      <c r="N119" s="3"/>
      <c r="O119" s="3"/>
      <c r="P119" s="3"/>
      <c r="Q119" s="3"/>
      <c r="R119" s="3"/>
      <c r="S119" s="3"/>
      <c r="T119" s="3"/>
      <c r="U119" s="3"/>
    </row>
    <row r="120" spans="1:21" x14ac:dyDescent="0.15">
      <c r="A120" s="227"/>
      <c r="B120" s="218"/>
      <c r="C120" s="829"/>
      <c r="D120" s="699"/>
      <c r="E120" s="33"/>
      <c r="F120" s="3"/>
      <c r="G120" s="3"/>
      <c r="H120" s="34"/>
      <c r="I120" s="3"/>
      <c r="J120" s="3"/>
      <c r="K120" s="3"/>
      <c r="L120" s="3"/>
      <c r="M120" s="3"/>
      <c r="N120" s="3"/>
      <c r="O120" s="3"/>
      <c r="P120" s="3"/>
      <c r="Q120" s="3"/>
      <c r="R120" s="3"/>
      <c r="S120" s="3"/>
      <c r="T120" s="3"/>
      <c r="U120" s="3"/>
    </row>
    <row r="121" spans="1:21" x14ac:dyDescent="0.15">
      <c r="A121" s="805" t="s">
        <v>484</v>
      </c>
      <c r="B121" s="396" t="s">
        <v>485</v>
      </c>
      <c r="C121" s="63"/>
      <c r="D121" s="3" t="s">
        <v>486</v>
      </c>
      <c r="E121" s="33"/>
      <c r="F121" s="842">
        <v>2.1</v>
      </c>
      <c r="G121" s="380" t="s">
        <v>487</v>
      </c>
      <c r="H121" s="34"/>
      <c r="I121" s="3"/>
      <c r="J121" s="35"/>
      <c r="K121" s="3"/>
      <c r="L121" s="3"/>
      <c r="M121" s="3"/>
      <c r="N121" s="3"/>
      <c r="O121" s="3"/>
      <c r="P121" s="3"/>
      <c r="Q121" s="3"/>
      <c r="R121" s="3"/>
      <c r="S121" s="3"/>
      <c r="T121" s="3"/>
      <c r="U121" s="3"/>
    </row>
    <row r="122" spans="1:21" x14ac:dyDescent="0.15">
      <c r="A122" s="3"/>
      <c r="B122" s="32"/>
      <c r="C122" s="63"/>
      <c r="D122" s="3"/>
      <c r="E122" s="33"/>
      <c r="F122" s="3"/>
      <c r="G122" s="3"/>
      <c r="H122" s="3"/>
      <c r="I122" s="3"/>
      <c r="J122" s="35"/>
      <c r="K122" s="3"/>
      <c r="L122" s="3"/>
      <c r="M122" s="3"/>
      <c r="N122" s="3"/>
      <c r="O122" s="3"/>
      <c r="P122" s="3"/>
      <c r="Q122" s="3"/>
      <c r="R122" s="3"/>
      <c r="S122" s="3"/>
      <c r="T122" s="3"/>
      <c r="U122" s="3"/>
    </row>
    <row r="123" spans="1:21" x14ac:dyDescent="0.15">
      <c r="A123" s="51"/>
      <c r="B123" s="218"/>
      <c r="C123" s="63"/>
      <c r="D123" s="3"/>
      <c r="E123" s="33"/>
      <c r="F123" s="3"/>
      <c r="G123" s="3"/>
      <c r="H123" s="34"/>
      <c r="I123" s="3"/>
      <c r="J123" s="3"/>
      <c r="K123" s="3"/>
      <c r="L123" s="3"/>
      <c r="M123" s="831"/>
      <c r="N123" s="832"/>
      <c r="O123" s="702"/>
      <c r="P123" s="3"/>
      <c r="Q123" s="3"/>
      <c r="R123" s="3"/>
      <c r="S123" s="3"/>
      <c r="T123" s="3"/>
      <c r="U123" s="3"/>
    </row>
    <row r="124" spans="1:21" x14ac:dyDescent="0.15">
      <c r="A124" s="3"/>
      <c r="B124" s="219"/>
      <c r="C124" s="63"/>
      <c r="D124" s="3"/>
      <c r="E124" s="33"/>
      <c r="F124" s="3"/>
      <c r="G124" s="3"/>
      <c r="H124" s="34"/>
      <c r="I124" s="3"/>
      <c r="J124" s="3"/>
      <c r="K124" s="3"/>
      <c r="L124" s="3"/>
      <c r="M124" s="3"/>
      <c r="N124" s="3"/>
      <c r="O124" s="3"/>
      <c r="P124" s="3"/>
      <c r="Q124" s="3"/>
      <c r="R124" s="3"/>
      <c r="S124" s="3"/>
      <c r="T124" s="3"/>
      <c r="U124" s="3"/>
    </row>
    <row r="125" spans="1:21" x14ac:dyDescent="0.15">
      <c r="A125" s="3"/>
      <c r="B125" s="833" t="s">
        <v>488</v>
      </c>
      <c r="C125" s="63"/>
      <c r="D125" s="875">
        <f>F121*1.5*100000000</f>
        <v>315000000.00000006</v>
      </c>
      <c r="E125" s="834" t="s">
        <v>517</v>
      </c>
      <c r="F125" s="3"/>
      <c r="G125" s="3"/>
      <c r="H125" s="34"/>
      <c r="I125" s="3"/>
      <c r="J125" s="3"/>
      <c r="K125" s="3"/>
      <c r="L125" s="3"/>
      <c r="M125" s="3"/>
      <c r="N125" s="3"/>
      <c r="O125" s="3"/>
      <c r="P125" s="3"/>
      <c r="Q125" s="3"/>
      <c r="R125" s="3"/>
      <c r="S125" s="3"/>
      <c r="T125" s="3"/>
      <c r="U125" s="3"/>
    </row>
    <row r="126" spans="1:21" x14ac:dyDescent="0.15">
      <c r="A126" s="227"/>
      <c r="B126" s="219"/>
      <c r="C126" s="830"/>
      <c r="D126" s="699"/>
      <c r="E126" s="33"/>
      <c r="F126" s="3"/>
      <c r="G126" s="3"/>
      <c r="H126" s="34"/>
      <c r="I126" s="3"/>
      <c r="J126" s="3"/>
      <c r="K126" s="3"/>
      <c r="L126" s="3"/>
      <c r="M126" s="3"/>
      <c r="N126" s="3"/>
      <c r="O126" s="3"/>
      <c r="P126" s="3"/>
      <c r="Q126" s="3"/>
      <c r="R126" s="3"/>
      <c r="S126" s="3"/>
      <c r="T126" s="3"/>
      <c r="U126" s="3"/>
    </row>
    <row r="127" spans="1:21" x14ac:dyDescent="0.15">
      <c r="A127" s="3"/>
      <c r="B127" s="3"/>
      <c r="C127" s="3"/>
      <c r="D127" s="3"/>
      <c r="E127" s="3"/>
      <c r="F127" s="3"/>
      <c r="G127" s="3"/>
      <c r="H127" s="3"/>
      <c r="I127" s="3"/>
      <c r="J127" s="3"/>
      <c r="K127" s="3"/>
      <c r="L127" s="3"/>
      <c r="M127" s="3"/>
      <c r="N127" s="3"/>
      <c r="O127" s="3"/>
      <c r="P127" s="3"/>
      <c r="Q127" s="3"/>
      <c r="R127" s="3"/>
      <c r="S127" s="3"/>
      <c r="T127" s="3"/>
      <c r="U127" s="3"/>
    </row>
    <row r="128" spans="1:21" x14ac:dyDescent="0.15">
      <c r="A128" s="3" t="s">
        <v>512</v>
      </c>
      <c r="B128" s="3"/>
      <c r="C128" s="3"/>
      <c r="D128" s="3"/>
      <c r="E128" s="3"/>
      <c r="F128" s="3"/>
      <c r="G128" s="3"/>
      <c r="H128" s="3"/>
      <c r="I128" s="3"/>
      <c r="J128" s="3"/>
      <c r="K128" s="3"/>
      <c r="L128" s="3"/>
      <c r="M128" s="3"/>
      <c r="N128" s="3"/>
      <c r="O128" s="3"/>
      <c r="P128" s="3"/>
      <c r="Q128" s="3"/>
      <c r="R128" s="3"/>
      <c r="S128" s="3"/>
      <c r="T128" s="3"/>
      <c r="U128" s="3"/>
    </row>
    <row r="129" spans="1:21" x14ac:dyDescent="0.15">
      <c r="A129" s="3"/>
      <c r="B129" s="32"/>
      <c r="C129" s="3"/>
      <c r="D129" s="3"/>
      <c r="E129" s="3"/>
      <c r="F129" s="3"/>
      <c r="G129" s="3"/>
      <c r="H129" s="3" t="s">
        <v>512</v>
      </c>
      <c r="I129" s="3"/>
      <c r="J129" s="3"/>
      <c r="K129" s="3"/>
      <c r="L129" s="3"/>
      <c r="M129" s="3"/>
      <c r="N129" s="3"/>
      <c r="O129" s="3"/>
      <c r="P129" s="3"/>
      <c r="Q129" s="3"/>
      <c r="R129" s="3"/>
      <c r="S129" s="3"/>
      <c r="T129" s="3"/>
      <c r="U129" s="3"/>
    </row>
    <row r="130" spans="1:21" x14ac:dyDescent="0.15">
      <c r="A130" s="3"/>
      <c r="B130" s="3" t="s">
        <v>512</v>
      </c>
      <c r="C130" s="3"/>
      <c r="D130" s="3"/>
      <c r="E130" s="3"/>
      <c r="F130" s="3"/>
      <c r="G130" s="3"/>
      <c r="H130" s="3"/>
      <c r="I130" s="3"/>
      <c r="J130" s="3"/>
      <c r="K130" s="3"/>
      <c r="L130" s="3"/>
      <c r="M130" s="3"/>
      <c r="N130" s="3"/>
      <c r="O130" s="3"/>
      <c r="P130" s="3"/>
      <c r="Q130" s="3"/>
      <c r="R130" s="3"/>
      <c r="S130" s="3"/>
      <c r="T130" s="3"/>
      <c r="U130" s="3"/>
    </row>
    <row r="131" spans="1:21" x14ac:dyDescent="0.15">
      <c r="A131" s="3"/>
      <c r="B131" s="3"/>
      <c r="C131" s="3"/>
      <c r="D131" s="3"/>
      <c r="E131" s="3"/>
      <c r="F131" s="3"/>
      <c r="G131" s="3"/>
      <c r="H131" s="3"/>
      <c r="I131" s="3"/>
      <c r="J131" s="3"/>
      <c r="K131" s="3"/>
      <c r="L131" s="3"/>
      <c r="M131" s="3"/>
      <c r="N131" s="3"/>
      <c r="O131" s="3"/>
      <c r="P131" s="3"/>
      <c r="Q131" s="3"/>
      <c r="R131" s="3"/>
      <c r="S131" s="3"/>
      <c r="T131" s="3"/>
      <c r="U131" s="3"/>
    </row>
    <row r="132" spans="1:21" x14ac:dyDescent="0.15">
      <c r="A132" s="3"/>
      <c r="B132" s="3"/>
      <c r="C132" s="3"/>
      <c r="D132" s="3"/>
      <c r="E132" s="3"/>
      <c r="F132" s="3"/>
      <c r="G132" s="3"/>
      <c r="H132" s="3"/>
      <c r="I132" s="3"/>
      <c r="J132" s="3"/>
      <c r="K132" s="3"/>
      <c r="L132" s="3"/>
      <c r="M132" s="3"/>
      <c r="N132" s="3"/>
      <c r="O132" s="3"/>
      <c r="P132" s="3"/>
      <c r="Q132" s="3"/>
      <c r="R132" s="3"/>
      <c r="S132" s="3"/>
      <c r="T132" s="3"/>
      <c r="U132" s="3"/>
    </row>
    <row r="133" spans="1:21" x14ac:dyDescent="0.15">
      <c r="A133" s="3"/>
      <c r="B133" s="3"/>
      <c r="C133" s="3"/>
      <c r="D133" s="3"/>
      <c r="E133" s="3"/>
      <c r="F133" s="3"/>
      <c r="G133" s="3"/>
      <c r="H133" s="3"/>
      <c r="I133" s="3"/>
      <c r="J133" s="3"/>
      <c r="K133" s="3"/>
      <c r="L133" s="3"/>
      <c r="M133" s="3"/>
      <c r="N133" s="3"/>
      <c r="O133" s="3"/>
      <c r="P133" s="3"/>
      <c r="Q133" s="3"/>
      <c r="R133" s="3"/>
      <c r="S133" s="3"/>
      <c r="T133" s="3"/>
      <c r="U133" s="3"/>
    </row>
    <row r="134" spans="1:21" x14ac:dyDescent="0.15">
      <c r="A134" s="3"/>
      <c r="B134" s="3"/>
      <c r="C134" s="3"/>
      <c r="D134" s="3"/>
      <c r="E134" s="3"/>
      <c r="F134" s="3"/>
      <c r="G134" s="3"/>
      <c r="H134" s="3"/>
      <c r="I134" s="3"/>
      <c r="J134" s="3"/>
      <c r="K134" s="3"/>
      <c r="L134" s="3"/>
      <c r="M134" s="3"/>
      <c r="N134" s="3"/>
      <c r="O134" s="3"/>
      <c r="P134" s="3"/>
      <c r="Q134" s="3"/>
      <c r="R134" s="3"/>
      <c r="S134" s="3"/>
      <c r="T134" s="3"/>
      <c r="U134" s="3"/>
    </row>
    <row r="135" spans="1:21" x14ac:dyDescent="0.15">
      <c r="A135" s="3"/>
      <c r="B135" s="3"/>
      <c r="C135" s="3"/>
      <c r="D135" s="3"/>
      <c r="E135" s="3"/>
      <c r="F135" s="3" t="s">
        <v>512</v>
      </c>
      <c r="G135" s="3"/>
      <c r="H135" s="3"/>
      <c r="I135" s="3"/>
      <c r="J135" s="3"/>
      <c r="K135" s="3"/>
      <c r="L135" s="3"/>
      <c r="M135" s="3"/>
      <c r="N135" s="3"/>
      <c r="O135" s="3"/>
      <c r="P135" s="3"/>
      <c r="Q135" s="3"/>
      <c r="R135" s="3"/>
      <c r="S135" s="3"/>
      <c r="T135" s="3"/>
      <c r="U135" s="3"/>
    </row>
    <row r="136" spans="1:21" x14ac:dyDescent="0.15">
      <c r="A136" s="3"/>
      <c r="B136" s="3"/>
      <c r="C136" s="3"/>
      <c r="D136" s="3"/>
      <c r="E136" s="3"/>
      <c r="F136" s="3"/>
      <c r="G136" s="3"/>
      <c r="H136" s="3"/>
      <c r="I136" s="3"/>
      <c r="J136" s="3"/>
      <c r="K136" s="3"/>
      <c r="L136" s="3"/>
      <c r="M136" s="3"/>
      <c r="N136" s="3"/>
      <c r="O136" s="3"/>
      <c r="P136" s="3"/>
      <c r="Q136" s="3"/>
      <c r="R136" s="3"/>
      <c r="S136" s="3"/>
      <c r="T136" s="3"/>
      <c r="U136" s="3"/>
    </row>
    <row r="137" spans="1:21" x14ac:dyDescent="0.15">
      <c r="A137" s="3"/>
      <c r="B137" s="3"/>
      <c r="C137" s="3"/>
      <c r="D137" s="3"/>
      <c r="E137" s="3"/>
      <c r="F137" s="3"/>
      <c r="G137" s="3"/>
      <c r="H137" s="3"/>
      <c r="I137" s="3"/>
      <c r="J137" s="3"/>
      <c r="K137" s="3"/>
      <c r="L137" s="3"/>
      <c r="M137" s="3"/>
      <c r="N137" s="3"/>
      <c r="O137" s="3"/>
      <c r="P137" s="3"/>
      <c r="Q137" s="3"/>
      <c r="R137" s="3"/>
      <c r="S137" s="3"/>
      <c r="T137" s="3"/>
      <c r="U137" s="3"/>
    </row>
    <row r="138" spans="1:21" x14ac:dyDescent="0.15">
      <c r="A138" s="3"/>
      <c r="B138" s="3"/>
      <c r="C138" s="3"/>
      <c r="D138" s="3"/>
      <c r="E138" s="3"/>
      <c r="F138" s="3"/>
      <c r="G138" s="3"/>
      <c r="H138" s="3"/>
      <c r="I138" s="3"/>
      <c r="J138" s="3"/>
      <c r="K138" s="3"/>
      <c r="L138" s="3"/>
      <c r="M138" s="3"/>
      <c r="N138" s="3"/>
      <c r="O138" s="3"/>
      <c r="P138" s="3"/>
      <c r="Q138" s="3"/>
      <c r="R138" s="3"/>
      <c r="S138" s="3"/>
      <c r="T138" s="3"/>
      <c r="U138" s="3"/>
    </row>
    <row r="139" spans="1:21" x14ac:dyDescent="0.15">
      <c r="A139" s="3"/>
      <c r="B139" s="3"/>
      <c r="C139" s="3"/>
      <c r="D139" s="3"/>
      <c r="E139" s="3"/>
      <c r="F139" s="3"/>
      <c r="G139" s="3"/>
      <c r="H139" s="3"/>
      <c r="I139" s="3"/>
      <c r="J139" s="3"/>
      <c r="K139" s="3"/>
      <c r="L139" s="3"/>
      <c r="M139" s="3"/>
      <c r="N139" s="3"/>
      <c r="O139" s="3"/>
      <c r="P139" s="3"/>
      <c r="Q139" s="3"/>
      <c r="R139" s="3"/>
      <c r="S139" s="3"/>
      <c r="T139" s="3"/>
      <c r="U139" s="3"/>
    </row>
    <row r="140" spans="1:21" x14ac:dyDescent="0.15">
      <c r="A140" s="3"/>
      <c r="B140" s="3"/>
      <c r="C140" s="3"/>
      <c r="D140" s="3"/>
      <c r="E140" s="3"/>
      <c r="F140" s="3"/>
      <c r="G140" s="3"/>
      <c r="H140" s="3"/>
      <c r="I140" s="3"/>
      <c r="J140" s="3"/>
      <c r="K140" s="3"/>
      <c r="L140" s="3"/>
      <c r="M140" s="3"/>
      <c r="N140" s="3"/>
      <c r="O140" s="3"/>
      <c r="P140" s="3"/>
      <c r="Q140" s="3"/>
      <c r="R140" s="3"/>
      <c r="S140" s="3"/>
      <c r="T140" s="3"/>
      <c r="U140" s="3"/>
    </row>
    <row r="141" spans="1:21" x14ac:dyDescent="0.15">
      <c r="A141" s="3"/>
      <c r="B141" s="3"/>
      <c r="C141" s="3"/>
      <c r="D141" s="3"/>
      <c r="E141" s="3"/>
      <c r="F141" s="3"/>
      <c r="G141" s="3"/>
      <c r="H141" s="3"/>
      <c r="I141" s="3"/>
      <c r="J141" s="3"/>
      <c r="K141" s="3"/>
      <c r="L141" s="3"/>
      <c r="M141" s="3"/>
      <c r="N141" s="3"/>
      <c r="O141" s="3"/>
      <c r="P141" s="3"/>
      <c r="Q141" s="3"/>
      <c r="R141" s="3"/>
      <c r="S141" s="3"/>
      <c r="T141" s="3"/>
      <c r="U141" s="3"/>
    </row>
    <row r="142" spans="1:21" x14ac:dyDescent="0.15">
      <c r="A142" s="3"/>
      <c r="B142" s="3"/>
      <c r="C142" s="3"/>
      <c r="D142" s="3"/>
      <c r="E142" s="3"/>
      <c r="F142" s="3"/>
      <c r="G142" s="3"/>
      <c r="H142" s="3"/>
      <c r="I142" s="3"/>
      <c r="J142" s="3"/>
      <c r="K142" s="3"/>
      <c r="L142" s="3"/>
      <c r="M142" s="3"/>
      <c r="N142" s="3"/>
      <c r="O142" s="3"/>
      <c r="P142" s="3"/>
      <c r="Q142" s="3"/>
      <c r="R142" s="3"/>
      <c r="S142" s="3"/>
      <c r="T142" s="3"/>
      <c r="U142" s="3"/>
    </row>
    <row r="143" spans="1:21" x14ac:dyDescent="0.15">
      <c r="A143" s="3"/>
      <c r="B143" s="3"/>
      <c r="C143" s="3"/>
      <c r="D143" s="3"/>
      <c r="E143" s="3"/>
      <c r="F143" s="3"/>
      <c r="G143" s="3"/>
      <c r="H143" s="3"/>
      <c r="I143" s="3"/>
      <c r="J143" s="3"/>
      <c r="K143" s="3"/>
      <c r="L143" s="3"/>
      <c r="M143" s="3"/>
      <c r="N143" s="3"/>
      <c r="O143" s="3"/>
      <c r="P143" s="3"/>
      <c r="Q143" s="3"/>
      <c r="R143" s="3"/>
      <c r="S143" s="3"/>
      <c r="T143" s="3"/>
      <c r="U143" s="3"/>
    </row>
    <row r="144" spans="1:21" x14ac:dyDescent="0.15">
      <c r="A144" s="3"/>
      <c r="B144" s="3"/>
      <c r="C144" s="3"/>
      <c r="D144" s="3"/>
      <c r="E144" s="3"/>
      <c r="F144" s="3"/>
      <c r="G144" s="3"/>
      <c r="H144" s="3"/>
      <c r="I144" s="3"/>
      <c r="J144" s="3"/>
      <c r="K144" s="3"/>
      <c r="L144" s="3"/>
      <c r="M144" s="3"/>
      <c r="N144" s="3"/>
      <c r="O144" s="3"/>
      <c r="P144" s="3"/>
      <c r="Q144" s="3"/>
      <c r="R144" s="3"/>
      <c r="S144" s="3"/>
      <c r="T144" s="3"/>
      <c r="U144" s="3"/>
    </row>
    <row r="145" spans="1:21" x14ac:dyDescent="0.15">
      <c r="A145" s="3"/>
      <c r="B145" s="3"/>
      <c r="C145" s="3"/>
      <c r="D145" s="3"/>
      <c r="E145" s="3"/>
      <c r="F145" s="3"/>
      <c r="G145" s="3"/>
      <c r="H145" s="3"/>
      <c r="I145" s="3"/>
      <c r="J145" s="3"/>
      <c r="K145" s="3"/>
      <c r="L145" s="3"/>
      <c r="M145" s="3"/>
      <c r="N145" s="3"/>
      <c r="O145" s="3"/>
      <c r="P145" s="3"/>
      <c r="Q145" s="3"/>
      <c r="R145" s="3"/>
      <c r="S145" s="3"/>
      <c r="T145" s="3"/>
      <c r="U145" s="3"/>
    </row>
    <row r="146" spans="1:21" x14ac:dyDescent="0.15">
      <c r="A146" s="3"/>
      <c r="B146" s="3"/>
      <c r="C146" s="3"/>
      <c r="D146" s="3"/>
      <c r="E146" s="3"/>
      <c r="F146" s="3"/>
      <c r="G146" s="3"/>
      <c r="H146" s="3"/>
      <c r="I146" s="3"/>
      <c r="J146" s="3"/>
      <c r="K146" s="3"/>
      <c r="L146" s="3"/>
      <c r="M146" s="3"/>
      <c r="N146" s="3"/>
      <c r="O146" s="3"/>
      <c r="P146" s="3"/>
      <c r="Q146" s="3"/>
      <c r="R146" s="3"/>
      <c r="S146" s="3"/>
      <c r="T146" s="3"/>
      <c r="U146" s="3"/>
    </row>
    <row r="147" spans="1:21" x14ac:dyDescent="0.15">
      <c r="A147" s="3"/>
      <c r="B147" s="3"/>
      <c r="C147" s="3"/>
      <c r="D147" s="3"/>
      <c r="E147" s="3"/>
      <c r="F147" s="3"/>
      <c r="G147" s="3"/>
      <c r="H147" s="3"/>
      <c r="I147" s="3"/>
      <c r="J147" s="3"/>
      <c r="K147" s="3"/>
      <c r="L147" s="3"/>
      <c r="M147" s="3"/>
      <c r="N147" s="3"/>
      <c r="O147" s="3"/>
      <c r="P147" s="3"/>
      <c r="Q147" s="3"/>
      <c r="R147" s="3"/>
      <c r="S147" s="3"/>
      <c r="T147" s="3"/>
      <c r="U147" s="3"/>
    </row>
    <row r="148" spans="1:21" x14ac:dyDescent="0.15">
      <c r="A148" s="3"/>
      <c r="B148" s="3"/>
      <c r="C148" s="3"/>
      <c r="D148" s="3"/>
      <c r="E148" s="3"/>
      <c r="F148" s="3"/>
      <c r="G148" s="3"/>
      <c r="H148" s="3"/>
      <c r="I148" s="3"/>
      <c r="J148" s="3"/>
      <c r="K148" s="3"/>
      <c r="L148" s="3"/>
      <c r="M148" s="3"/>
      <c r="N148" s="3"/>
      <c r="O148" s="3"/>
      <c r="P148" s="3"/>
      <c r="Q148" s="3"/>
      <c r="R148" s="3"/>
      <c r="S148" s="3"/>
      <c r="T148" s="3"/>
      <c r="U148" s="3"/>
    </row>
    <row r="149" spans="1:21" x14ac:dyDescent="0.15">
      <c r="A149" s="3"/>
      <c r="B149" s="3"/>
      <c r="C149" s="3"/>
      <c r="D149" s="3"/>
      <c r="E149" s="3"/>
      <c r="F149" s="3"/>
      <c r="G149" s="3"/>
      <c r="H149" s="3"/>
      <c r="I149" s="3"/>
      <c r="J149" s="3"/>
      <c r="K149" s="3"/>
      <c r="L149" s="3"/>
      <c r="M149" s="3"/>
      <c r="N149" s="3"/>
      <c r="O149" s="3"/>
      <c r="P149" s="3"/>
      <c r="Q149" s="3"/>
      <c r="R149" s="3"/>
      <c r="S149" s="3"/>
      <c r="T149" s="3"/>
      <c r="U149" s="3"/>
    </row>
    <row r="150" spans="1:21" x14ac:dyDescent="0.15">
      <c r="A150" s="3"/>
      <c r="B150" s="3"/>
      <c r="C150" s="3"/>
      <c r="D150" s="3"/>
      <c r="E150" s="3"/>
      <c r="F150" s="3"/>
      <c r="G150" s="3"/>
      <c r="H150" s="3"/>
      <c r="I150" s="3"/>
      <c r="J150" s="3"/>
      <c r="K150" s="3"/>
      <c r="L150" s="3"/>
      <c r="M150" s="3"/>
      <c r="N150" s="3"/>
      <c r="O150" s="3"/>
      <c r="P150" s="3"/>
      <c r="Q150" s="3"/>
      <c r="R150" s="3"/>
      <c r="S150" s="3"/>
      <c r="T150" s="3"/>
      <c r="U150" s="3"/>
    </row>
    <row r="151" spans="1:21" x14ac:dyDescent="0.15">
      <c r="A151" s="3"/>
      <c r="B151" s="3"/>
      <c r="C151" s="3"/>
      <c r="D151" s="3"/>
      <c r="E151" s="3"/>
      <c r="F151" s="3"/>
      <c r="G151" s="3"/>
      <c r="H151" s="3"/>
      <c r="I151" s="3"/>
      <c r="J151" s="3"/>
      <c r="K151" s="3"/>
      <c r="L151" s="3"/>
      <c r="M151" s="3"/>
      <c r="N151" s="3"/>
      <c r="O151" s="3"/>
      <c r="P151" s="3"/>
      <c r="Q151" s="3"/>
      <c r="R151" s="3"/>
      <c r="S151" s="3"/>
      <c r="T151" s="3"/>
      <c r="U151" s="3"/>
    </row>
    <row r="152" spans="1:21" x14ac:dyDescent="0.15">
      <c r="A152" s="3"/>
      <c r="B152" s="3"/>
      <c r="C152" s="3"/>
      <c r="D152" s="3"/>
      <c r="E152" s="3"/>
      <c r="F152" s="3"/>
      <c r="G152" s="3"/>
      <c r="H152" s="3"/>
      <c r="I152" s="3"/>
      <c r="J152" s="3"/>
      <c r="K152" s="3"/>
      <c r="L152" s="3"/>
      <c r="M152" s="3"/>
      <c r="N152" s="3"/>
      <c r="O152" s="3"/>
      <c r="P152" s="3"/>
      <c r="Q152" s="3"/>
      <c r="R152" s="3"/>
      <c r="S152" s="3"/>
      <c r="T152" s="3"/>
      <c r="U152" s="3"/>
    </row>
    <row r="153" spans="1:21" x14ac:dyDescent="0.15">
      <c r="A153" s="3"/>
      <c r="B153" s="3"/>
      <c r="C153" s="3"/>
      <c r="D153" s="3"/>
      <c r="E153" s="3"/>
      <c r="F153" s="3"/>
      <c r="G153" s="3"/>
      <c r="H153" s="3"/>
      <c r="I153" s="3"/>
      <c r="J153" s="3"/>
      <c r="K153" s="3"/>
      <c r="L153" s="3"/>
      <c r="M153" s="3"/>
      <c r="N153" s="3"/>
      <c r="O153" s="3"/>
      <c r="P153" s="3"/>
      <c r="Q153" s="3"/>
      <c r="R153" s="3"/>
      <c r="S153" s="3"/>
      <c r="T153" s="3"/>
      <c r="U153" s="3"/>
    </row>
    <row r="154" spans="1:21" x14ac:dyDescent="0.15">
      <c r="A154" s="3"/>
      <c r="B154" s="3"/>
      <c r="C154" s="3"/>
      <c r="D154" s="3"/>
      <c r="E154" s="3"/>
      <c r="F154" s="3"/>
      <c r="G154" s="3"/>
      <c r="H154" s="3"/>
      <c r="I154" s="3"/>
      <c r="J154" s="3"/>
      <c r="K154" s="3"/>
      <c r="L154" s="3"/>
      <c r="M154" s="3"/>
      <c r="N154" s="3"/>
      <c r="O154" s="3"/>
      <c r="P154" s="3"/>
      <c r="Q154" s="3"/>
      <c r="R154" s="3"/>
      <c r="S154" s="3"/>
      <c r="T154" s="3"/>
      <c r="U154" s="3"/>
    </row>
    <row r="155" spans="1:21" x14ac:dyDescent="0.15">
      <c r="A155" s="3"/>
      <c r="B155" s="3"/>
      <c r="C155" s="3"/>
      <c r="D155" s="3"/>
      <c r="E155" s="3"/>
      <c r="F155" s="3"/>
      <c r="G155" s="3"/>
      <c r="H155" s="3"/>
      <c r="I155" s="3"/>
      <c r="J155" s="3"/>
      <c r="K155" s="3"/>
      <c r="L155" s="3"/>
      <c r="M155" s="3"/>
      <c r="N155" s="3"/>
      <c r="O155" s="3"/>
      <c r="P155" s="3"/>
      <c r="Q155" s="3"/>
      <c r="R155" s="3"/>
      <c r="S155" s="3"/>
      <c r="T155" s="3"/>
      <c r="U155" s="3"/>
    </row>
    <row r="156" spans="1:21" x14ac:dyDescent="0.15">
      <c r="A156" s="3"/>
      <c r="B156" s="3"/>
      <c r="C156" s="3"/>
      <c r="D156" s="3"/>
      <c r="E156" s="3"/>
      <c r="F156" s="3"/>
      <c r="G156" s="3"/>
      <c r="H156" s="3"/>
      <c r="I156" s="3"/>
      <c r="J156" s="3"/>
      <c r="K156" s="3"/>
      <c r="L156" s="3"/>
      <c r="M156" s="3"/>
      <c r="N156" s="3"/>
      <c r="O156" s="3"/>
      <c r="P156" s="3"/>
      <c r="Q156" s="3"/>
      <c r="R156" s="3"/>
      <c r="S156" s="3"/>
      <c r="T156" s="3"/>
      <c r="U156" s="3"/>
    </row>
    <row r="157" spans="1:21" x14ac:dyDescent="0.15">
      <c r="A157" s="3"/>
      <c r="B157" s="3"/>
      <c r="C157" s="3"/>
      <c r="D157" s="3"/>
      <c r="E157" s="3"/>
      <c r="F157" s="3"/>
      <c r="G157" s="3"/>
      <c r="H157" s="3"/>
      <c r="I157" s="3"/>
      <c r="J157" s="3"/>
      <c r="K157" s="3"/>
      <c r="L157" s="3"/>
      <c r="M157" s="3"/>
      <c r="N157" s="3"/>
      <c r="O157" s="3"/>
      <c r="P157" s="3"/>
      <c r="Q157" s="3"/>
      <c r="R157" s="3"/>
      <c r="S157" s="3"/>
      <c r="T157" s="3"/>
      <c r="U157" s="3"/>
    </row>
    <row r="158" spans="1:21" x14ac:dyDescent="0.15">
      <c r="A158" s="3"/>
      <c r="B158" s="3"/>
      <c r="C158" s="3"/>
      <c r="D158" s="3"/>
      <c r="E158" s="3"/>
      <c r="F158" s="3"/>
      <c r="G158" s="3"/>
      <c r="H158" s="3"/>
      <c r="I158" s="3"/>
      <c r="J158" s="3"/>
      <c r="K158" s="3"/>
      <c r="L158" s="3"/>
      <c r="M158" s="3"/>
      <c r="N158" s="3"/>
      <c r="O158" s="3"/>
      <c r="P158" s="3"/>
      <c r="Q158" s="3"/>
      <c r="R158" s="3"/>
      <c r="S158" s="3"/>
      <c r="T158" s="3"/>
      <c r="U158" s="3"/>
    </row>
    <row r="159" spans="1:21" x14ac:dyDescent="0.15">
      <c r="A159" s="3"/>
      <c r="B159" s="3"/>
      <c r="C159" s="3"/>
      <c r="D159" s="3"/>
      <c r="E159" s="3"/>
      <c r="F159" s="3"/>
      <c r="G159" s="3"/>
      <c r="H159" s="3"/>
      <c r="I159" s="3"/>
      <c r="J159" s="3"/>
      <c r="K159" s="3"/>
      <c r="L159" s="3"/>
      <c r="M159" s="3"/>
      <c r="N159" s="3"/>
      <c r="O159" s="3"/>
      <c r="P159" s="3"/>
      <c r="Q159" s="3"/>
      <c r="R159" s="3"/>
      <c r="S159" s="3"/>
      <c r="T159" s="3"/>
      <c r="U159" s="3"/>
    </row>
    <row r="160" spans="1:21" x14ac:dyDescent="0.15">
      <c r="A160" s="3"/>
      <c r="B160" s="3"/>
      <c r="C160" s="3"/>
      <c r="D160" s="3"/>
      <c r="E160" s="3"/>
      <c r="F160" s="3"/>
      <c r="G160" s="3"/>
      <c r="H160" s="3"/>
      <c r="I160" s="3"/>
      <c r="J160" s="3"/>
      <c r="K160" s="3"/>
      <c r="L160" s="3"/>
      <c r="M160" s="3"/>
      <c r="N160" s="3"/>
      <c r="O160" s="3"/>
      <c r="P160" s="3"/>
      <c r="Q160" s="3"/>
      <c r="R160" s="3"/>
      <c r="S160" s="3"/>
      <c r="T160" s="3"/>
      <c r="U160" s="3"/>
    </row>
    <row r="161" spans="1:21" x14ac:dyDescent="0.15">
      <c r="A161" s="3"/>
      <c r="B161" s="3"/>
      <c r="C161" s="3"/>
      <c r="D161" s="3"/>
      <c r="E161" s="3"/>
      <c r="F161" s="3"/>
      <c r="G161" s="3"/>
      <c r="H161" s="3"/>
      <c r="I161" s="3"/>
      <c r="J161" s="3"/>
      <c r="K161" s="3"/>
      <c r="L161" s="3"/>
      <c r="M161" s="3"/>
      <c r="N161" s="3"/>
      <c r="O161" s="3"/>
      <c r="P161" s="3"/>
      <c r="Q161" s="3"/>
      <c r="R161" s="3"/>
      <c r="S161" s="3"/>
      <c r="T161" s="3"/>
      <c r="U161" s="3"/>
    </row>
    <row r="162" spans="1:21" x14ac:dyDescent="0.15">
      <c r="A162" s="3"/>
      <c r="B162" s="3"/>
      <c r="C162" s="3"/>
      <c r="D162" s="3"/>
      <c r="E162" s="3"/>
      <c r="F162" s="3"/>
      <c r="G162" s="3"/>
      <c r="H162" s="3"/>
      <c r="I162" s="3"/>
      <c r="J162" s="3"/>
      <c r="K162" s="3"/>
      <c r="L162" s="3"/>
      <c r="M162" s="3"/>
      <c r="N162" s="3"/>
      <c r="O162" s="3"/>
      <c r="P162" s="3"/>
      <c r="Q162" s="3"/>
      <c r="R162" s="3"/>
      <c r="S162" s="3"/>
      <c r="T162" s="3"/>
      <c r="U162" s="3"/>
    </row>
    <row r="163" spans="1:21" x14ac:dyDescent="0.15">
      <c r="A163" s="3"/>
      <c r="B163" s="3"/>
      <c r="C163" s="3"/>
      <c r="D163" s="3"/>
      <c r="E163" s="3"/>
      <c r="F163" s="3"/>
      <c r="G163" s="3"/>
      <c r="H163" s="3"/>
      <c r="I163" s="3"/>
      <c r="J163" s="3"/>
      <c r="K163" s="3"/>
      <c r="L163" s="3"/>
      <c r="M163" s="3"/>
      <c r="N163" s="3"/>
      <c r="O163" s="3"/>
      <c r="P163" s="3"/>
      <c r="Q163" s="3"/>
      <c r="R163" s="3"/>
      <c r="S163" s="3"/>
      <c r="T163" s="3"/>
      <c r="U163" s="3"/>
    </row>
    <row r="164" spans="1:21" x14ac:dyDescent="0.15">
      <c r="A164" s="3"/>
      <c r="B164" s="3"/>
      <c r="C164" s="3"/>
      <c r="D164" s="3"/>
      <c r="E164" s="3"/>
      <c r="F164" s="3"/>
      <c r="G164" s="3"/>
      <c r="H164" s="3"/>
      <c r="I164" s="3"/>
      <c r="J164" s="3"/>
      <c r="K164" s="3"/>
      <c r="L164" s="3"/>
      <c r="M164" s="3"/>
      <c r="N164" s="3"/>
      <c r="O164" s="3"/>
      <c r="P164" s="3"/>
      <c r="Q164" s="3"/>
      <c r="R164" s="3"/>
      <c r="S164" s="3"/>
      <c r="T164" s="3"/>
      <c r="U164" s="3"/>
    </row>
    <row r="165" spans="1:21" x14ac:dyDescent="0.15">
      <c r="A165" s="3"/>
      <c r="B165" s="3"/>
      <c r="C165" s="3"/>
      <c r="D165" s="3"/>
      <c r="E165" s="3"/>
      <c r="F165" s="3"/>
      <c r="G165" s="3"/>
      <c r="H165" s="3"/>
      <c r="I165" s="3"/>
      <c r="J165" s="3"/>
      <c r="K165" s="3"/>
      <c r="L165" s="3"/>
      <c r="M165" s="3"/>
      <c r="N165" s="3"/>
      <c r="O165" s="3"/>
      <c r="P165" s="3"/>
      <c r="Q165" s="3"/>
      <c r="R165" s="3"/>
      <c r="S165" s="3"/>
      <c r="T165" s="3"/>
      <c r="U165" s="3"/>
    </row>
    <row r="166" spans="1:21" x14ac:dyDescent="0.15">
      <c r="A166" s="3"/>
      <c r="B166" s="3"/>
      <c r="C166" s="3"/>
      <c r="D166" s="3"/>
      <c r="E166" s="3"/>
      <c r="F166" s="3"/>
      <c r="G166" s="3"/>
      <c r="H166" s="3"/>
      <c r="I166" s="3"/>
      <c r="J166" s="3"/>
      <c r="K166" s="3"/>
      <c r="L166" s="3"/>
      <c r="M166" s="3"/>
      <c r="N166" s="3"/>
      <c r="O166" s="3"/>
      <c r="P166" s="3"/>
      <c r="Q166" s="3"/>
      <c r="R166" s="3"/>
      <c r="S166" s="3"/>
      <c r="T166" s="3"/>
      <c r="U166" s="3"/>
    </row>
    <row r="167" spans="1:21" x14ac:dyDescent="0.15">
      <c r="A167" s="3"/>
      <c r="B167" s="3"/>
      <c r="C167" s="3"/>
      <c r="D167" s="3"/>
      <c r="E167" s="3"/>
      <c r="F167" s="3"/>
      <c r="G167" s="3"/>
      <c r="H167" s="3"/>
      <c r="I167" s="3"/>
      <c r="J167" s="3"/>
      <c r="K167" s="3"/>
      <c r="L167" s="3"/>
      <c r="M167" s="3"/>
      <c r="N167" s="3"/>
      <c r="O167" s="3"/>
      <c r="P167" s="3"/>
      <c r="Q167" s="3"/>
      <c r="R167" s="3"/>
      <c r="S167" s="3"/>
      <c r="T167" s="3"/>
      <c r="U167" s="3"/>
    </row>
    <row r="168" spans="1:21" x14ac:dyDescent="0.15">
      <c r="A168" s="3"/>
      <c r="B168" s="3"/>
      <c r="C168" s="3"/>
      <c r="D168" s="3"/>
      <c r="E168" s="3"/>
      <c r="F168" s="3"/>
      <c r="G168" s="3"/>
      <c r="H168" s="3"/>
      <c r="I168" s="3"/>
      <c r="J168" s="3"/>
      <c r="K168" s="3"/>
      <c r="L168" s="3"/>
      <c r="M168" s="3"/>
      <c r="N168" s="3"/>
      <c r="O168" s="3"/>
      <c r="P168" s="3"/>
      <c r="Q168" s="3"/>
      <c r="R168" s="3"/>
      <c r="S168" s="3"/>
      <c r="T168" s="3"/>
      <c r="U168" s="3"/>
    </row>
    <row r="169" spans="1:21" x14ac:dyDescent="0.15">
      <c r="A169" s="3"/>
      <c r="B169" s="3"/>
      <c r="C169" s="3"/>
      <c r="D169" s="3"/>
      <c r="E169" s="3"/>
      <c r="F169" s="3"/>
      <c r="G169" s="3"/>
      <c r="H169" s="3"/>
      <c r="I169" s="3"/>
      <c r="J169" s="3"/>
      <c r="K169" s="3"/>
      <c r="L169" s="3"/>
      <c r="M169" s="3"/>
      <c r="N169" s="3"/>
      <c r="O169" s="3"/>
      <c r="P169" s="3"/>
      <c r="Q169" s="3"/>
      <c r="R169" s="3"/>
      <c r="S169" s="3"/>
      <c r="T169" s="3"/>
      <c r="U169" s="3"/>
    </row>
    <row r="170" spans="1:21" x14ac:dyDescent="0.15">
      <c r="A170" s="3"/>
      <c r="B170" s="3"/>
      <c r="C170" s="3"/>
      <c r="D170" s="3"/>
      <c r="E170" s="3"/>
      <c r="F170" s="3"/>
      <c r="G170" s="3"/>
      <c r="H170" s="3"/>
      <c r="I170" s="3"/>
      <c r="J170" s="3"/>
      <c r="K170" s="3"/>
      <c r="L170" s="3"/>
      <c r="M170" s="3"/>
      <c r="N170" s="3"/>
      <c r="O170" s="3"/>
      <c r="P170" s="3"/>
      <c r="Q170" s="3"/>
      <c r="R170" s="3"/>
      <c r="S170" s="3"/>
      <c r="T170" s="3"/>
      <c r="U170" s="3"/>
    </row>
    <row r="171" spans="1:21" x14ac:dyDescent="0.15">
      <c r="A171" s="3"/>
      <c r="B171" s="3"/>
      <c r="C171" s="3"/>
      <c r="D171" s="3"/>
      <c r="E171" s="3"/>
      <c r="F171" s="3"/>
      <c r="G171" s="3"/>
      <c r="H171" s="3"/>
      <c r="I171" s="3"/>
      <c r="J171" s="3"/>
      <c r="K171" s="3"/>
      <c r="L171" s="3"/>
      <c r="M171" s="3"/>
      <c r="N171" s="3"/>
      <c r="O171" s="3"/>
      <c r="P171" s="3"/>
      <c r="Q171" s="3"/>
      <c r="R171" s="3"/>
      <c r="S171" s="3"/>
      <c r="T171" s="3"/>
      <c r="U171" s="3"/>
    </row>
    <row r="172" spans="1:21" x14ac:dyDescent="0.15">
      <c r="A172" s="3"/>
      <c r="B172" s="3"/>
      <c r="C172" s="3"/>
      <c r="D172" s="3"/>
      <c r="E172" s="3"/>
      <c r="F172" s="3"/>
      <c r="G172" s="3"/>
      <c r="H172" s="3"/>
      <c r="I172" s="3"/>
      <c r="J172" s="3"/>
      <c r="K172" s="3"/>
      <c r="L172" s="3"/>
      <c r="M172" s="3"/>
      <c r="N172" s="3"/>
      <c r="O172" s="3"/>
      <c r="P172" s="3"/>
      <c r="Q172" s="3"/>
      <c r="R172" s="3"/>
      <c r="S172" s="3"/>
      <c r="T172" s="3"/>
      <c r="U172" s="3"/>
    </row>
    <row r="173" spans="1:21" x14ac:dyDescent="0.15">
      <c r="A173" s="3"/>
      <c r="B173" s="3"/>
      <c r="C173" s="3"/>
      <c r="D173" s="3"/>
      <c r="E173" s="3"/>
      <c r="F173" s="3"/>
      <c r="G173" s="3"/>
      <c r="H173" s="3"/>
      <c r="I173" s="3"/>
      <c r="J173" s="3"/>
      <c r="K173" s="3"/>
      <c r="L173" s="3"/>
      <c r="M173" s="3"/>
      <c r="N173" s="3"/>
      <c r="O173" s="3"/>
      <c r="P173" s="3"/>
      <c r="Q173" s="3"/>
      <c r="R173" s="3"/>
      <c r="S173" s="3"/>
      <c r="T173" s="3"/>
      <c r="U173" s="3"/>
    </row>
    <row r="174" spans="1:21" x14ac:dyDescent="0.15">
      <c r="A174" s="3"/>
      <c r="B174" s="3"/>
      <c r="C174" s="3"/>
      <c r="D174" s="3"/>
      <c r="E174" s="3"/>
      <c r="F174" s="3"/>
      <c r="G174" s="3"/>
      <c r="H174" s="3"/>
      <c r="I174" s="3"/>
      <c r="J174" s="3"/>
      <c r="K174" s="3"/>
      <c r="L174" s="3"/>
      <c r="M174" s="3"/>
      <c r="N174" s="3"/>
      <c r="O174" s="3"/>
      <c r="P174" s="3"/>
      <c r="Q174" s="3"/>
      <c r="R174" s="3"/>
      <c r="S174" s="3"/>
      <c r="T174" s="3"/>
      <c r="U174" s="3"/>
    </row>
    <row r="175" spans="1:21" x14ac:dyDescent="0.15">
      <c r="A175" s="3"/>
      <c r="B175" s="3"/>
      <c r="C175" s="3"/>
      <c r="D175" s="3"/>
      <c r="E175" s="3"/>
      <c r="F175" s="3"/>
      <c r="G175" s="3"/>
      <c r="H175" s="3"/>
      <c r="I175" s="3"/>
      <c r="J175" s="3"/>
      <c r="K175" s="3"/>
      <c r="L175" s="3"/>
      <c r="M175" s="3"/>
      <c r="N175" s="3"/>
      <c r="O175" s="3"/>
      <c r="P175" s="3"/>
      <c r="Q175" s="3"/>
      <c r="R175" s="3"/>
      <c r="S175" s="3"/>
      <c r="T175" s="3"/>
      <c r="U175" s="3"/>
    </row>
    <row r="176" spans="1:21" x14ac:dyDescent="0.15">
      <c r="A176" s="3"/>
      <c r="B176" s="3"/>
      <c r="C176" s="3"/>
      <c r="D176" s="3"/>
      <c r="E176" s="3"/>
      <c r="F176" s="3"/>
      <c r="G176" s="3"/>
      <c r="H176" s="3"/>
      <c r="I176" s="3"/>
      <c r="J176" s="3"/>
      <c r="K176" s="3"/>
      <c r="L176" s="3"/>
      <c r="M176" s="3"/>
      <c r="N176" s="3"/>
      <c r="O176" s="3"/>
      <c r="P176" s="3"/>
      <c r="Q176" s="3"/>
      <c r="R176" s="3"/>
      <c r="S176" s="3"/>
      <c r="T176" s="3"/>
      <c r="U176" s="3"/>
    </row>
  </sheetData>
  <phoneticPr fontId="0" type="noConversion"/>
  <pageMargins left="0.75" right="0.75" top="1" bottom="1" header="0.5" footer="0.5"/>
  <pageSetup orientation="portrait"/>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3"/>
  </sheetPr>
  <dimension ref="A1:U40"/>
  <sheetViews>
    <sheetView zoomScale="110" zoomScaleNormal="110" workbookViewId="0">
      <selection activeCell="M12" sqref="M12"/>
    </sheetView>
  </sheetViews>
  <sheetFormatPr baseColWidth="10" defaultColWidth="10.6640625" defaultRowHeight="13" x14ac:dyDescent="0.15"/>
  <cols>
    <col min="1" max="1" width="25.83203125" customWidth="1"/>
    <col min="2" max="6" width="8.83203125" customWidth="1"/>
    <col min="7" max="7" width="14.5" customWidth="1"/>
    <col min="8" max="8" width="5.5" customWidth="1"/>
    <col min="9" max="10" width="8.83203125" customWidth="1"/>
    <col min="11" max="11" width="10.6640625" customWidth="1"/>
    <col min="12" max="13" width="8.83203125" customWidth="1"/>
    <col min="14" max="14" width="7" customWidth="1"/>
    <col min="15" max="256" width="8.83203125" customWidth="1"/>
  </cols>
  <sheetData>
    <row r="1" spans="1:21" ht="19" thickBot="1" x14ac:dyDescent="0.25">
      <c r="A1" s="690" t="s">
        <v>842</v>
      </c>
      <c r="B1" s="691"/>
      <c r="C1" s="692"/>
      <c r="D1" s="692"/>
      <c r="E1" s="692"/>
      <c r="F1" s="692"/>
      <c r="G1" s="692"/>
      <c r="H1" s="692"/>
      <c r="I1" s="692"/>
      <c r="J1" s="692"/>
      <c r="K1" s="692"/>
      <c r="L1" s="692"/>
      <c r="M1" s="692"/>
      <c r="N1" s="692"/>
      <c r="O1" s="692"/>
      <c r="P1" s="692"/>
      <c r="Q1" s="692"/>
      <c r="R1" s="121"/>
      <c r="S1" s="121"/>
      <c r="T1" s="121"/>
      <c r="U1" s="121"/>
    </row>
    <row r="2" spans="1:21" ht="18" x14ac:dyDescent="0.2">
      <c r="A2" s="825"/>
      <c r="B2" s="620"/>
      <c r="C2" s="809"/>
      <c r="D2" s="809"/>
      <c r="E2" s="809"/>
      <c r="F2" s="809"/>
      <c r="G2" s="809"/>
      <c r="H2" s="809"/>
      <c r="I2" s="809"/>
      <c r="J2" s="809"/>
      <c r="K2" s="809"/>
      <c r="L2" s="809"/>
      <c r="M2" s="809"/>
      <c r="N2" s="809"/>
      <c r="O2" s="809"/>
      <c r="P2" s="809"/>
      <c r="Q2" s="809"/>
      <c r="R2" s="3"/>
      <c r="S2" s="3"/>
      <c r="T2" s="3"/>
      <c r="U2" s="3"/>
    </row>
    <row r="3" spans="1:21" ht="18" x14ac:dyDescent="0.2">
      <c r="A3" s="825"/>
      <c r="B3" s="620"/>
      <c r="C3" s="809"/>
      <c r="D3" s="809"/>
      <c r="E3" s="809"/>
      <c r="F3" s="809"/>
      <c r="G3" s="809"/>
      <c r="H3" s="809"/>
      <c r="I3" s="809"/>
      <c r="J3" s="809"/>
      <c r="K3" s="809"/>
      <c r="L3" s="809"/>
      <c r="M3" s="809"/>
      <c r="N3" s="809"/>
      <c r="O3" s="809"/>
      <c r="P3" s="809"/>
      <c r="Q3" s="809"/>
      <c r="R3" s="3"/>
      <c r="S3" s="3"/>
      <c r="T3" s="3"/>
      <c r="U3" s="3"/>
    </row>
    <row r="4" spans="1:21" ht="18" x14ac:dyDescent="0.2">
      <c r="A4" s="825"/>
      <c r="B4" s="620"/>
      <c r="C4" s="13" t="s">
        <v>512</v>
      </c>
      <c r="D4" s="13" t="s">
        <v>674</v>
      </c>
      <c r="E4" s="809"/>
      <c r="F4" s="809"/>
      <c r="G4" s="883" t="str">
        <f>Orbit!D4</f>
        <v>LEO</v>
      </c>
      <c r="H4" s="809"/>
      <c r="I4" s="809"/>
      <c r="J4" s="223" t="s">
        <v>557</v>
      </c>
      <c r="K4" s="117"/>
      <c r="L4" s="118"/>
      <c r="M4" s="809"/>
      <c r="N4" s="809"/>
      <c r="O4" s="809"/>
      <c r="P4" s="809"/>
      <c r="Q4" s="809"/>
      <c r="R4" s="3"/>
      <c r="S4" s="3"/>
      <c r="T4" s="3"/>
      <c r="U4" s="3"/>
    </row>
    <row r="5" spans="1:21" ht="13.5" customHeight="1" x14ac:dyDescent="0.2">
      <c r="A5" s="825"/>
      <c r="B5" s="620"/>
      <c r="C5" s="809"/>
      <c r="D5" s="809"/>
      <c r="E5" s="809"/>
      <c r="F5" s="809"/>
      <c r="G5" s="809"/>
      <c r="H5" s="809"/>
      <c r="I5" s="809"/>
      <c r="J5" s="809"/>
      <c r="K5" s="809"/>
      <c r="L5" s="809"/>
      <c r="M5" s="809"/>
      <c r="N5" s="809"/>
      <c r="O5" s="809"/>
      <c r="P5" s="809"/>
      <c r="Q5" s="809"/>
      <c r="R5" s="3"/>
      <c r="S5" s="3"/>
      <c r="T5" s="3"/>
      <c r="U5" s="3"/>
    </row>
    <row r="6" spans="1:21" ht="13.5" customHeight="1" x14ac:dyDescent="0.2">
      <c r="A6" s="825"/>
      <c r="B6" s="620"/>
      <c r="C6" s="13" t="s">
        <v>73</v>
      </c>
      <c r="D6" s="809"/>
      <c r="E6" s="809"/>
      <c r="F6" s="809"/>
      <c r="G6" s="884">
        <f>Orbit!G4</f>
        <v>1213.3286729260303</v>
      </c>
      <c r="H6" s="839" t="s">
        <v>517</v>
      </c>
      <c r="I6" s="809"/>
      <c r="J6" s="809"/>
      <c r="K6" s="809"/>
      <c r="L6" s="809"/>
      <c r="M6" s="809"/>
      <c r="N6" s="809"/>
      <c r="O6" s="809"/>
      <c r="P6" s="809"/>
      <c r="Q6" s="809"/>
      <c r="R6" s="3"/>
      <c r="S6" s="3"/>
      <c r="T6" s="3"/>
      <c r="U6" s="3"/>
    </row>
    <row r="7" spans="1:21" ht="13.5" customHeight="1" x14ac:dyDescent="0.2">
      <c r="A7" s="825"/>
      <c r="B7" s="239" t="s">
        <v>868</v>
      </c>
      <c r="C7" s="809"/>
      <c r="D7" s="809"/>
      <c r="E7" s="809"/>
      <c r="F7" s="809"/>
      <c r="G7" s="809"/>
      <c r="H7" s="809"/>
      <c r="I7" s="809"/>
      <c r="J7" s="809"/>
      <c r="K7" s="809"/>
      <c r="L7" s="809"/>
      <c r="M7" s="809"/>
      <c r="N7" s="809"/>
      <c r="O7" s="809"/>
      <c r="P7" s="809"/>
      <c r="Q7" s="809"/>
      <c r="R7" s="3"/>
      <c r="S7" s="3"/>
      <c r="T7" s="3"/>
      <c r="U7" s="3"/>
    </row>
    <row r="8" spans="1:21" ht="13.5" customHeight="1" x14ac:dyDescent="0.2">
      <c r="A8" s="825"/>
      <c r="B8" s="620"/>
      <c r="C8" s="809"/>
      <c r="D8" s="809"/>
      <c r="E8" s="809"/>
      <c r="F8" s="809"/>
      <c r="G8" s="809"/>
      <c r="H8" s="809"/>
      <c r="I8" s="809"/>
      <c r="J8" s="809"/>
      <c r="K8" s="809"/>
      <c r="L8" s="809"/>
      <c r="M8" s="809"/>
      <c r="N8" s="809"/>
      <c r="O8" s="809"/>
      <c r="P8" s="809"/>
      <c r="Q8" s="809"/>
      <c r="R8" s="3"/>
      <c r="S8" s="3"/>
      <c r="T8" s="3"/>
      <c r="U8" s="3"/>
    </row>
    <row r="9" spans="1:21" ht="14" thickBot="1" x14ac:dyDescent="0.2">
      <c r="A9" s="3" t="s">
        <v>512</v>
      </c>
      <c r="B9" s="219" t="s">
        <v>637</v>
      </c>
      <c r="C9" s="51" t="s">
        <v>550</v>
      </c>
      <c r="D9" s="3"/>
      <c r="E9" s="51" t="s">
        <v>635</v>
      </c>
      <c r="F9" s="3"/>
      <c r="G9" s="51" t="s">
        <v>553</v>
      </c>
      <c r="H9" s="3"/>
      <c r="I9" s="3"/>
      <c r="J9" s="3"/>
      <c r="K9" s="3"/>
      <c r="L9" s="3"/>
      <c r="M9" s="3"/>
      <c r="N9" s="3"/>
      <c r="O9" s="3"/>
      <c r="P9" s="3"/>
      <c r="Q9" s="3"/>
      <c r="R9" s="3"/>
      <c r="S9" s="3"/>
      <c r="T9" s="3"/>
      <c r="U9" s="3"/>
    </row>
    <row r="10" spans="1:21" ht="14" thickBot="1" x14ac:dyDescent="0.2">
      <c r="A10" s="828" t="s">
        <v>555</v>
      </c>
      <c r="B10" s="218" t="s">
        <v>839</v>
      </c>
      <c r="C10" s="222">
        <v>145.80000000000001</v>
      </c>
      <c r="D10" s="118" t="s">
        <v>551</v>
      </c>
      <c r="E10" s="33">
        <f>299.8/C10</f>
        <v>2.056241426611797</v>
      </c>
      <c r="F10" s="3" t="s">
        <v>552</v>
      </c>
      <c r="G10" s="34">
        <f>22+20*LOG10(($G$6*1000)/E10)</f>
        <v>137.41808712545878</v>
      </c>
      <c r="H10" s="3" t="s">
        <v>554</v>
      </c>
      <c r="I10" s="3" t="s">
        <v>844</v>
      </c>
      <c r="J10" s="3"/>
      <c r="K10" s="3"/>
      <c r="L10" s="398">
        <v>2</v>
      </c>
      <c r="M10" s="221">
        <f>INDEX(C10:C13,L10,1)</f>
        <v>436.5</v>
      </c>
      <c r="N10" s="220" t="s">
        <v>551</v>
      </c>
      <c r="O10" s="3"/>
      <c r="P10" s="3"/>
      <c r="Q10" s="3"/>
      <c r="R10" s="3"/>
      <c r="S10" s="3"/>
      <c r="T10" s="3"/>
      <c r="U10" s="3"/>
    </row>
    <row r="11" spans="1:21" x14ac:dyDescent="0.15">
      <c r="A11" s="51"/>
      <c r="B11" s="218" t="s">
        <v>840</v>
      </c>
      <c r="C11" s="222">
        <v>436.5</v>
      </c>
      <c r="D11" s="118" t="s">
        <v>551</v>
      </c>
      <c r="E11" s="33">
        <f t="shared" ref="E11:E18" si="0">299.8/C11</f>
        <v>0.6868270332187858</v>
      </c>
      <c r="F11" s="3" t="s">
        <v>552</v>
      </c>
      <c r="G11" s="34">
        <f>22+20*LOG10(($G$6*1000)/E11)</f>
        <v>146.94262160665141</v>
      </c>
      <c r="H11" s="3" t="s">
        <v>554</v>
      </c>
      <c r="I11" s="3"/>
      <c r="J11" s="3"/>
      <c r="K11" s="3"/>
      <c r="L11" s="3"/>
      <c r="M11" s="3"/>
      <c r="N11" s="3"/>
      <c r="O11" s="3"/>
      <c r="P11" s="3"/>
      <c r="Q11" s="3"/>
      <c r="R11" s="3"/>
      <c r="S11" s="3"/>
      <c r="T11" s="3"/>
      <c r="U11" s="3"/>
    </row>
    <row r="12" spans="1:21" x14ac:dyDescent="0.15">
      <c r="A12" s="51"/>
      <c r="B12" s="218" t="s">
        <v>841</v>
      </c>
      <c r="C12" s="222">
        <v>1269.9000000000001</v>
      </c>
      <c r="D12" s="118" t="s">
        <v>551</v>
      </c>
      <c r="E12" s="33">
        <f t="shared" si="0"/>
        <v>0.23608158122686826</v>
      </c>
      <c r="F12" s="3" t="s">
        <v>552</v>
      </c>
      <c r="G12" s="34">
        <f>22+20*LOG10(($G$6*1000)/E12)</f>
        <v>156.21832710969309</v>
      </c>
      <c r="H12" s="3" t="s">
        <v>554</v>
      </c>
      <c r="I12" s="3" t="s">
        <v>817</v>
      </c>
      <c r="J12" s="3"/>
      <c r="K12" s="3"/>
      <c r="L12" s="3"/>
      <c r="M12" s="826">
        <f>INDEX(G10:G13,L10,1)</f>
        <v>146.94262160665141</v>
      </c>
      <c r="N12" s="827" t="s">
        <v>554</v>
      </c>
      <c r="O12" s="3"/>
      <c r="P12" s="3"/>
      <c r="Q12" s="3"/>
      <c r="R12" s="3"/>
      <c r="S12" s="3"/>
      <c r="T12" s="3"/>
      <c r="U12" s="3"/>
    </row>
    <row r="13" spans="1:21" x14ac:dyDescent="0.15">
      <c r="A13" s="227" t="s">
        <v>846</v>
      </c>
      <c r="B13" s="218" t="s">
        <v>845</v>
      </c>
      <c r="C13" s="224">
        <v>2000</v>
      </c>
      <c r="D13" s="225" t="s">
        <v>551</v>
      </c>
      <c r="E13" s="33">
        <f>299.8/C13</f>
        <v>0.14990000000000001</v>
      </c>
      <c r="F13" s="3" t="s">
        <v>552</v>
      </c>
      <c r="G13" s="34">
        <f>22+20*LOG10(($G$6*1000)/E13)</f>
        <v>160.16353655909927</v>
      </c>
      <c r="H13" s="3" t="s">
        <v>554</v>
      </c>
      <c r="I13" s="3"/>
      <c r="J13" s="3"/>
      <c r="K13" s="3"/>
      <c r="L13" s="3"/>
      <c r="M13" s="3"/>
      <c r="N13" s="3"/>
      <c r="O13" s="3"/>
      <c r="P13" s="3"/>
      <c r="Q13" s="3"/>
      <c r="R13" s="3"/>
      <c r="S13" s="3"/>
      <c r="T13" s="3"/>
      <c r="U13" s="3"/>
    </row>
    <row r="14" spans="1:21" x14ac:dyDescent="0.15">
      <c r="A14" s="51"/>
      <c r="B14" s="218"/>
      <c r="C14" s="63"/>
      <c r="D14" s="3"/>
      <c r="E14" s="33" t="s">
        <v>512</v>
      </c>
      <c r="F14" s="3"/>
      <c r="G14" s="34"/>
      <c r="H14" s="3"/>
      <c r="I14" s="35"/>
      <c r="J14" s="3"/>
      <c r="K14" s="3"/>
      <c r="L14" s="3"/>
      <c r="M14" s="3"/>
      <c r="N14" s="3"/>
      <c r="O14" s="3"/>
      <c r="P14" s="3"/>
      <c r="Q14" s="3"/>
      <c r="R14" s="3"/>
      <c r="S14" s="3"/>
      <c r="T14" s="3"/>
      <c r="U14" s="3"/>
    </row>
    <row r="15" spans="1:21" ht="14" thickBot="1" x14ac:dyDescent="0.2">
      <c r="A15" s="3"/>
      <c r="B15" s="32"/>
      <c r="C15" s="63" t="s">
        <v>512</v>
      </c>
      <c r="D15" s="3"/>
      <c r="E15" s="33" t="s">
        <v>512</v>
      </c>
      <c r="F15" s="3"/>
      <c r="G15" s="3"/>
      <c r="H15" s="3"/>
      <c r="I15" s="35" t="s">
        <v>512</v>
      </c>
      <c r="J15" s="3"/>
      <c r="K15" s="3"/>
      <c r="L15" s="3"/>
      <c r="M15" s="3"/>
      <c r="N15" s="3"/>
      <c r="O15" s="3"/>
      <c r="P15" s="3"/>
      <c r="Q15" s="3"/>
      <c r="R15" s="3"/>
      <c r="S15" s="3"/>
      <c r="T15" s="3"/>
      <c r="U15" s="3"/>
    </row>
    <row r="16" spans="1:21" ht="14" thickBot="1" x14ac:dyDescent="0.2">
      <c r="A16" s="828" t="s">
        <v>556</v>
      </c>
      <c r="B16" s="218" t="s">
        <v>839</v>
      </c>
      <c r="C16" s="222">
        <v>145.80000000000001</v>
      </c>
      <c r="D16" s="118" t="s">
        <v>551</v>
      </c>
      <c r="E16" s="33">
        <f t="shared" si="0"/>
        <v>2.056241426611797</v>
      </c>
      <c r="F16" s="3" t="s">
        <v>552</v>
      </c>
      <c r="G16" s="34">
        <f>22+20*LOG10(($G$6*1000)/E16)</f>
        <v>137.41808712545878</v>
      </c>
      <c r="H16" s="3" t="s">
        <v>554</v>
      </c>
      <c r="I16" s="3" t="s">
        <v>843</v>
      </c>
      <c r="J16" s="3"/>
      <c r="K16" s="3"/>
      <c r="L16" s="398">
        <v>2</v>
      </c>
      <c r="M16" s="221">
        <f>INDEX(C16:C19,L16,1)</f>
        <v>436.5</v>
      </c>
      <c r="N16" s="220" t="s">
        <v>551</v>
      </c>
      <c r="O16" s="3"/>
      <c r="P16" s="3"/>
      <c r="Q16" s="3"/>
      <c r="R16" s="3"/>
      <c r="S16" s="3"/>
      <c r="T16" s="3"/>
      <c r="U16" s="3"/>
    </row>
    <row r="17" spans="1:21" x14ac:dyDescent="0.15">
      <c r="A17" s="3"/>
      <c r="B17" s="219" t="s">
        <v>840</v>
      </c>
      <c r="C17" s="222">
        <v>436.5</v>
      </c>
      <c r="D17" s="118" t="s">
        <v>551</v>
      </c>
      <c r="E17" s="33">
        <f t="shared" si="0"/>
        <v>0.6868270332187858</v>
      </c>
      <c r="F17" s="3" t="s">
        <v>552</v>
      </c>
      <c r="G17" s="34">
        <f>22+20*LOG10(($G$6*1000)/E17)</f>
        <v>146.94262160665141</v>
      </c>
      <c r="H17" s="3" t="s">
        <v>554</v>
      </c>
      <c r="I17" s="3"/>
      <c r="J17" s="3"/>
      <c r="K17" s="3"/>
      <c r="L17" s="3"/>
      <c r="M17" s="3"/>
      <c r="N17" s="3"/>
      <c r="O17" s="3"/>
      <c r="P17" s="3"/>
      <c r="Q17" s="3"/>
      <c r="R17" s="3"/>
      <c r="S17" s="3"/>
      <c r="T17" s="3"/>
      <c r="U17" s="3"/>
    </row>
    <row r="18" spans="1:21" x14ac:dyDescent="0.15">
      <c r="A18" s="3"/>
      <c r="B18" s="219" t="s">
        <v>841</v>
      </c>
      <c r="C18" s="222">
        <v>2405</v>
      </c>
      <c r="D18" s="118" t="s">
        <v>551</v>
      </c>
      <c r="E18" s="33">
        <f t="shared" si="0"/>
        <v>0.12465696465696466</v>
      </c>
      <c r="F18" s="3" t="s">
        <v>552</v>
      </c>
      <c r="G18" s="34">
        <f>22+20*LOG10(($G$6*1000)/E18)</f>
        <v>161.76523826001667</v>
      </c>
      <c r="H18" s="3" t="s">
        <v>554</v>
      </c>
      <c r="I18" s="3" t="s">
        <v>817</v>
      </c>
      <c r="J18" s="3"/>
      <c r="K18" s="3"/>
      <c r="L18" s="3"/>
      <c r="M18" s="826">
        <f>INDEX(G16:G19,L16,1)</f>
        <v>146.94262160665141</v>
      </c>
      <c r="N18" s="827" t="s">
        <v>554</v>
      </c>
      <c r="O18" s="3"/>
      <c r="P18" s="3"/>
      <c r="Q18" s="3"/>
      <c r="R18" s="3"/>
      <c r="S18" s="3"/>
      <c r="T18" s="3"/>
      <c r="U18" s="3"/>
    </row>
    <row r="19" spans="1:21" x14ac:dyDescent="0.15">
      <c r="A19" s="227" t="s">
        <v>846</v>
      </c>
      <c r="B19" s="219" t="s">
        <v>845</v>
      </c>
      <c r="C19" s="226">
        <v>2000</v>
      </c>
      <c r="D19" s="225" t="s">
        <v>551</v>
      </c>
      <c r="E19" s="33">
        <f>299.8/C19</f>
        <v>0.14990000000000001</v>
      </c>
      <c r="F19" s="3" t="s">
        <v>552</v>
      </c>
      <c r="G19" s="34">
        <f>22+20*LOG10(($G$6*1000)/E19)</f>
        <v>160.16353655909927</v>
      </c>
      <c r="H19" s="3" t="s">
        <v>554</v>
      </c>
      <c r="I19" s="3" t="s">
        <v>512</v>
      </c>
      <c r="J19" s="3"/>
      <c r="K19" s="3"/>
      <c r="L19" s="3"/>
      <c r="M19" s="3"/>
      <c r="N19" s="3"/>
      <c r="O19" s="3"/>
      <c r="P19" s="3"/>
      <c r="Q19" s="3"/>
      <c r="R19" s="3"/>
      <c r="S19" s="3"/>
      <c r="T19" s="3"/>
      <c r="U19" s="3"/>
    </row>
    <row r="20" spans="1:21" x14ac:dyDescent="0.15">
      <c r="A20" s="3"/>
      <c r="B20" s="3"/>
      <c r="C20" s="3"/>
      <c r="D20" s="3"/>
      <c r="E20" s="3" t="s">
        <v>512</v>
      </c>
      <c r="F20" s="3"/>
      <c r="G20" s="3"/>
      <c r="H20" s="3"/>
      <c r="I20" s="3"/>
      <c r="J20" s="3" t="s">
        <v>512</v>
      </c>
      <c r="K20" s="3"/>
      <c r="L20" s="3"/>
      <c r="M20" s="3"/>
      <c r="N20" s="3"/>
      <c r="O20" s="3"/>
      <c r="P20" s="3"/>
      <c r="Q20" s="3"/>
      <c r="R20" s="3"/>
      <c r="S20" s="3"/>
      <c r="T20" s="3"/>
      <c r="U20" s="3"/>
    </row>
    <row r="21" spans="1:21" x14ac:dyDescent="0.15">
      <c r="A21" s="3" t="s">
        <v>512</v>
      </c>
      <c r="B21" s="3"/>
      <c r="C21" s="3"/>
      <c r="D21" s="3"/>
      <c r="E21" s="3"/>
      <c r="F21" s="3"/>
      <c r="G21" s="3"/>
      <c r="H21" s="3"/>
      <c r="I21" s="3"/>
      <c r="J21" s="3"/>
      <c r="K21" s="3"/>
      <c r="L21" s="3"/>
      <c r="M21" s="3"/>
      <c r="N21" s="3"/>
      <c r="O21" s="3"/>
      <c r="P21" s="3"/>
      <c r="Q21" s="3"/>
      <c r="R21" s="3"/>
      <c r="S21" s="3"/>
      <c r="T21" s="3"/>
      <c r="U21" s="3"/>
    </row>
    <row r="22" spans="1:21" x14ac:dyDescent="0.15">
      <c r="A22" s="3"/>
      <c r="B22" s="32" t="s">
        <v>512</v>
      </c>
      <c r="C22" s="3"/>
      <c r="D22" s="3"/>
      <c r="E22" s="3"/>
      <c r="F22" s="3"/>
      <c r="G22" s="3"/>
      <c r="H22" s="3" t="s">
        <v>512</v>
      </c>
      <c r="I22" s="3"/>
      <c r="J22" s="3"/>
      <c r="K22" s="3"/>
      <c r="L22" s="3"/>
      <c r="M22" s="3"/>
      <c r="N22" s="3"/>
      <c r="O22" s="3"/>
      <c r="P22" s="3"/>
      <c r="Q22" s="3"/>
      <c r="R22" s="3"/>
      <c r="S22" s="3"/>
      <c r="T22" s="3"/>
      <c r="U22" s="3"/>
    </row>
    <row r="23" spans="1:21" x14ac:dyDescent="0.15">
      <c r="A23" s="3"/>
      <c r="B23" s="3" t="s">
        <v>512</v>
      </c>
      <c r="C23" s="3"/>
      <c r="D23" s="3"/>
      <c r="E23" s="3"/>
      <c r="F23" s="3"/>
      <c r="G23" s="3"/>
      <c r="H23" s="3"/>
      <c r="I23" s="3"/>
      <c r="J23" s="3"/>
      <c r="K23" s="3"/>
      <c r="L23" s="3"/>
      <c r="M23" s="3"/>
      <c r="N23" s="3"/>
      <c r="O23" s="3"/>
      <c r="P23" s="3"/>
      <c r="Q23" s="3"/>
      <c r="R23" s="3"/>
      <c r="S23" s="3"/>
      <c r="T23" s="3"/>
      <c r="U23" s="3"/>
    </row>
    <row r="24" spans="1:21" x14ac:dyDescent="0.15">
      <c r="A24" s="3"/>
      <c r="B24" s="3"/>
      <c r="C24" s="3"/>
      <c r="D24" s="3"/>
      <c r="E24" s="3"/>
      <c r="F24" s="3"/>
      <c r="G24" s="3"/>
      <c r="H24" s="3"/>
      <c r="I24" s="3"/>
      <c r="J24" s="3"/>
      <c r="K24" s="3"/>
      <c r="L24" s="3"/>
      <c r="M24" s="3"/>
      <c r="N24" s="3"/>
      <c r="O24" s="3"/>
      <c r="P24" s="3"/>
      <c r="Q24" s="3"/>
      <c r="R24" s="3"/>
      <c r="S24" s="3"/>
      <c r="T24" s="3"/>
      <c r="U24" s="3"/>
    </row>
    <row r="25" spans="1:21" x14ac:dyDescent="0.15">
      <c r="A25" s="3"/>
      <c r="B25" s="3"/>
      <c r="C25" s="3"/>
      <c r="D25" s="3"/>
      <c r="E25" s="3"/>
      <c r="F25" s="3"/>
      <c r="G25" s="3"/>
      <c r="H25" s="3"/>
      <c r="I25" s="3"/>
      <c r="J25" s="3"/>
      <c r="K25" s="3"/>
      <c r="L25" s="3"/>
      <c r="M25" s="3"/>
      <c r="N25" s="3"/>
      <c r="O25" s="3"/>
      <c r="P25" s="3"/>
      <c r="Q25" s="3"/>
      <c r="R25" s="3"/>
      <c r="S25" s="3"/>
      <c r="T25" s="3"/>
      <c r="U25" s="3"/>
    </row>
    <row r="26" spans="1:21" x14ac:dyDescent="0.15">
      <c r="A26" s="3"/>
      <c r="B26" s="3"/>
      <c r="C26" s="3"/>
      <c r="D26" s="3"/>
      <c r="E26" s="3"/>
      <c r="F26" s="3"/>
      <c r="G26" s="3"/>
      <c r="H26" s="3"/>
      <c r="I26" s="3"/>
      <c r="J26" s="3"/>
      <c r="K26" s="3"/>
      <c r="L26" s="3"/>
      <c r="M26" s="3"/>
      <c r="N26" s="3"/>
      <c r="O26" s="3"/>
      <c r="P26" s="3"/>
      <c r="Q26" s="3"/>
      <c r="R26" s="3"/>
      <c r="S26" s="3"/>
      <c r="T26" s="3"/>
      <c r="U26" s="3"/>
    </row>
    <row r="27" spans="1:21" x14ac:dyDescent="0.15">
      <c r="A27" s="3"/>
      <c r="B27" s="3"/>
      <c r="C27" s="3"/>
      <c r="D27" s="3"/>
      <c r="E27" s="3"/>
      <c r="F27" s="3"/>
      <c r="G27" s="3"/>
      <c r="H27" s="3"/>
      <c r="I27" s="3"/>
      <c r="J27" s="3"/>
      <c r="K27" s="3"/>
      <c r="L27" s="3"/>
      <c r="M27" s="3"/>
      <c r="N27" s="3"/>
      <c r="O27" s="3"/>
      <c r="P27" s="3"/>
      <c r="Q27" s="3"/>
      <c r="R27" s="3"/>
      <c r="S27" s="3"/>
      <c r="T27" s="3"/>
      <c r="U27" s="3"/>
    </row>
    <row r="28" spans="1:21" x14ac:dyDescent="0.15">
      <c r="A28" s="3"/>
      <c r="B28" s="3"/>
      <c r="C28" s="3"/>
      <c r="D28" s="3"/>
      <c r="E28" s="3"/>
      <c r="F28" s="3" t="s">
        <v>512</v>
      </c>
      <c r="G28" s="3"/>
      <c r="H28" s="3"/>
      <c r="I28" s="3"/>
      <c r="J28" s="3"/>
      <c r="K28" s="3"/>
      <c r="L28" s="3"/>
      <c r="M28" s="3"/>
      <c r="N28" s="3"/>
      <c r="O28" s="3"/>
      <c r="P28" s="3"/>
      <c r="Q28" s="3"/>
      <c r="R28" s="3"/>
      <c r="S28" s="3"/>
      <c r="T28" s="3"/>
      <c r="U28" s="3"/>
    </row>
    <row r="29" spans="1:21" x14ac:dyDescent="0.15">
      <c r="A29" s="3"/>
      <c r="B29" s="3"/>
      <c r="C29" s="3"/>
      <c r="D29" s="3"/>
      <c r="E29" s="3"/>
      <c r="F29" s="3"/>
      <c r="G29" s="3"/>
      <c r="H29" s="3"/>
      <c r="I29" s="3"/>
      <c r="J29" s="3"/>
      <c r="K29" s="3"/>
      <c r="L29" s="3"/>
      <c r="M29" s="3"/>
      <c r="N29" s="3"/>
      <c r="O29" s="3"/>
      <c r="P29" s="3"/>
      <c r="Q29" s="3"/>
      <c r="R29" s="3"/>
      <c r="S29" s="3"/>
      <c r="T29" s="3"/>
      <c r="U29" s="3"/>
    </row>
    <row r="30" spans="1:21" x14ac:dyDescent="0.15">
      <c r="A30" s="3"/>
      <c r="B30" s="3"/>
      <c r="C30" s="3"/>
      <c r="D30" s="3"/>
      <c r="E30" s="3"/>
      <c r="F30" s="3"/>
      <c r="G30" s="3"/>
      <c r="H30" s="3"/>
      <c r="I30" s="3"/>
      <c r="J30" s="3"/>
      <c r="K30" s="3"/>
      <c r="L30" s="3"/>
      <c r="M30" s="3"/>
      <c r="N30" s="3"/>
      <c r="O30" s="3"/>
      <c r="P30" s="3"/>
      <c r="Q30" s="3"/>
      <c r="R30" s="3"/>
      <c r="S30" s="3"/>
      <c r="T30" s="3"/>
      <c r="U30" s="3"/>
    </row>
    <row r="31" spans="1:21" x14ac:dyDescent="0.15">
      <c r="A31" s="3"/>
      <c r="B31" s="3"/>
      <c r="C31" s="3"/>
      <c r="D31" s="3"/>
      <c r="E31" s="3"/>
      <c r="F31" s="3"/>
      <c r="G31" s="3"/>
      <c r="H31" s="3"/>
      <c r="I31" s="3"/>
      <c r="J31" s="3"/>
      <c r="K31" s="3"/>
      <c r="L31" s="3"/>
      <c r="M31" s="3"/>
      <c r="N31" s="3"/>
      <c r="O31" s="3"/>
      <c r="P31" s="3"/>
      <c r="Q31" s="3"/>
      <c r="R31" s="3"/>
      <c r="S31" s="3"/>
      <c r="T31" s="3"/>
      <c r="U31" s="3"/>
    </row>
    <row r="32" spans="1:21" x14ac:dyDescent="0.15">
      <c r="A32" s="3"/>
      <c r="B32" s="3"/>
      <c r="C32" s="3"/>
      <c r="D32" s="3"/>
      <c r="E32" s="3"/>
      <c r="F32" s="3"/>
      <c r="G32" s="3"/>
      <c r="H32" s="3"/>
      <c r="I32" s="3"/>
      <c r="J32" s="3"/>
      <c r="K32" s="3"/>
      <c r="L32" s="3"/>
      <c r="M32" s="3"/>
      <c r="N32" s="3"/>
      <c r="O32" s="3"/>
      <c r="P32" s="3"/>
      <c r="Q32" s="3"/>
      <c r="R32" s="3"/>
      <c r="S32" s="3"/>
      <c r="T32" s="3"/>
      <c r="U32" s="3"/>
    </row>
    <row r="33" spans="1:21" x14ac:dyDescent="0.15">
      <c r="A33" s="3"/>
      <c r="B33" s="3"/>
      <c r="C33" s="3"/>
      <c r="D33" s="3"/>
      <c r="E33" s="3"/>
      <c r="F33" s="3"/>
      <c r="G33" s="3"/>
      <c r="H33" s="3"/>
      <c r="I33" s="3"/>
      <c r="J33" s="3"/>
      <c r="K33" s="3"/>
      <c r="L33" s="3"/>
      <c r="M33" s="3"/>
      <c r="N33" s="3"/>
      <c r="O33" s="3"/>
      <c r="P33" s="3"/>
      <c r="Q33" s="3"/>
      <c r="R33" s="3"/>
      <c r="S33" s="3"/>
      <c r="T33" s="3"/>
      <c r="U33" s="3"/>
    </row>
    <row r="34" spans="1:21" x14ac:dyDescent="0.15">
      <c r="A34" s="3"/>
      <c r="B34" s="3"/>
      <c r="C34" s="3"/>
      <c r="D34" s="3"/>
      <c r="E34" s="3"/>
      <c r="F34" s="3"/>
      <c r="G34" s="3"/>
      <c r="H34" s="3"/>
      <c r="I34" s="3"/>
      <c r="J34" s="3"/>
      <c r="K34" s="3"/>
      <c r="L34" s="3"/>
      <c r="M34" s="3"/>
      <c r="N34" s="3"/>
      <c r="O34" s="3"/>
      <c r="P34" s="3"/>
      <c r="Q34" s="3"/>
      <c r="R34" s="3"/>
      <c r="S34" s="3"/>
      <c r="T34" s="3"/>
      <c r="U34" s="3"/>
    </row>
    <row r="35" spans="1:21" x14ac:dyDescent="0.15">
      <c r="A35" s="3"/>
      <c r="B35" s="3"/>
      <c r="C35" s="3"/>
      <c r="D35" s="3"/>
      <c r="E35" s="3"/>
      <c r="F35" s="3"/>
      <c r="G35" s="3"/>
      <c r="H35" s="3"/>
      <c r="I35" s="3"/>
      <c r="J35" s="3"/>
      <c r="K35" s="3"/>
      <c r="L35" s="3"/>
      <c r="M35" s="3"/>
      <c r="N35" s="3"/>
      <c r="O35" s="3"/>
      <c r="P35" s="3"/>
      <c r="Q35" s="3"/>
      <c r="R35" s="3"/>
      <c r="S35" s="3"/>
      <c r="T35" s="3"/>
      <c r="U35" s="3"/>
    </row>
    <row r="36" spans="1:21" x14ac:dyDescent="0.15">
      <c r="A36" s="3"/>
      <c r="B36" s="3"/>
      <c r="C36" s="3"/>
      <c r="D36" s="3"/>
      <c r="E36" s="3"/>
      <c r="F36" s="3"/>
      <c r="G36" s="3"/>
      <c r="H36" s="3"/>
      <c r="I36" s="3"/>
      <c r="J36" s="3"/>
      <c r="K36" s="3"/>
      <c r="L36" s="3"/>
      <c r="M36" s="3"/>
      <c r="N36" s="3"/>
      <c r="O36" s="3"/>
      <c r="P36" s="3"/>
      <c r="Q36" s="3"/>
      <c r="R36" s="3"/>
      <c r="S36" s="3"/>
      <c r="T36" s="3"/>
      <c r="U36" s="3"/>
    </row>
    <row r="37" spans="1:21" x14ac:dyDescent="0.15">
      <c r="A37" s="3"/>
      <c r="B37" s="3"/>
      <c r="C37" s="3"/>
      <c r="D37" s="3"/>
      <c r="E37" s="3"/>
      <c r="F37" s="3"/>
      <c r="G37" s="3"/>
      <c r="H37" s="3"/>
      <c r="I37" s="3"/>
      <c r="J37" s="3"/>
      <c r="K37" s="3"/>
      <c r="L37" s="3"/>
      <c r="M37" s="3"/>
      <c r="N37" s="3"/>
      <c r="O37" s="3"/>
      <c r="P37" s="3"/>
      <c r="Q37" s="3"/>
      <c r="R37" s="3"/>
      <c r="S37" s="3"/>
      <c r="T37" s="3"/>
      <c r="U37" s="3"/>
    </row>
    <row r="38" spans="1:21" x14ac:dyDescent="0.15">
      <c r="A38" s="3"/>
      <c r="B38" s="3"/>
      <c r="C38" s="3"/>
      <c r="D38" s="3"/>
      <c r="E38" s="3"/>
      <c r="F38" s="3"/>
      <c r="G38" s="3"/>
      <c r="H38" s="3"/>
      <c r="I38" s="3"/>
      <c r="J38" s="3"/>
      <c r="K38" s="3"/>
      <c r="L38" s="3"/>
      <c r="M38" s="3"/>
      <c r="N38" s="3"/>
      <c r="O38" s="3"/>
      <c r="P38" s="3"/>
      <c r="Q38" s="3"/>
      <c r="R38" s="3"/>
      <c r="S38" s="3"/>
      <c r="T38" s="3"/>
      <c r="U38" s="3"/>
    </row>
    <row r="39" spans="1:21" x14ac:dyDescent="0.15">
      <c r="A39" s="3"/>
      <c r="B39" s="3"/>
      <c r="C39" s="3"/>
      <c r="D39" s="3"/>
      <c r="E39" s="3"/>
      <c r="F39" s="3"/>
      <c r="G39" s="3"/>
      <c r="H39" s="3"/>
      <c r="I39" s="3"/>
      <c r="J39" s="3"/>
      <c r="K39" s="3"/>
      <c r="L39" s="3"/>
      <c r="M39" s="3"/>
      <c r="N39" s="3"/>
      <c r="O39" s="3"/>
      <c r="P39" s="3"/>
      <c r="Q39" s="3"/>
      <c r="R39" s="3"/>
      <c r="S39" s="3"/>
      <c r="T39" s="3"/>
      <c r="U39" s="3"/>
    </row>
    <row r="40" spans="1:21" x14ac:dyDescent="0.15">
      <c r="A40" s="3"/>
      <c r="B40" s="3"/>
      <c r="C40" s="3"/>
      <c r="D40" s="3"/>
      <c r="E40" s="3"/>
      <c r="F40" s="3"/>
      <c r="G40" s="3"/>
      <c r="H40" s="3"/>
      <c r="I40" s="3"/>
      <c r="J40" s="3"/>
      <c r="K40" s="3"/>
      <c r="L40" s="3"/>
      <c r="M40" s="3"/>
      <c r="N40" s="3"/>
      <c r="O40" s="3"/>
      <c r="P40" s="3"/>
      <c r="Q40" s="3"/>
      <c r="R40" s="3"/>
      <c r="S40" s="3"/>
      <c r="T40" s="3"/>
      <c r="U40" s="3"/>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3"/>
  </sheetPr>
  <dimension ref="A1:P93"/>
  <sheetViews>
    <sheetView topLeftCell="A38" zoomScale="110" zoomScaleNormal="110" workbookViewId="0">
      <selection activeCell="E17" sqref="E17"/>
    </sheetView>
  </sheetViews>
  <sheetFormatPr baseColWidth="10" defaultColWidth="10.6640625" defaultRowHeight="13" x14ac:dyDescent="0.15"/>
  <cols>
    <col min="1" max="3" width="8.83203125" customWidth="1"/>
    <col min="4" max="4" width="23.5" customWidth="1"/>
    <col min="5" max="5" width="8.83203125" customWidth="1"/>
    <col min="6" max="6" width="9.33203125" customWidth="1"/>
    <col min="7" max="7" width="9" customWidth="1"/>
    <col min="8" max="8" width="8.83203125" customWidth="1"/>
    <col min="9" max="9" width="10.6640625" customWidth="1"/>
    <col min="10" max="256" width="8.83203125" customWidth="1"/>
  </cols>
  <sheetData>
    <row r="1" spans="1:16" ht="19" thickBot="1" x14ac:dyDescent="0.25">
      <c r="A1" s="119" t="s">
        <v>912</v>
      </c>
      <c r="B1" s="121"/>
      <c r="C1" s="121"/>
      <c r="D1" s="121"/>
      <c r="E1" s="121"/>
      <c r="F1" s="675" t="str">
        <f>'Title Page'!F3</f>
        <v>3UCubed</v>
      </c>
      <c r="G1" s="121"/>
      <c r="H1" s="121"/>
      <c r="I1" s="121"/>
      <c r="J1" s="905">
        <f ca="1">'Title Page'!F23</f>
        <v>45769</v>
      </c>
      <c r="K1" s="121"/>
      <c r="L1" s="121"/>
      <c r="M1" s="121"/>
      <c r="N1" s="121"/>
      <c r="O1" s="121"/>
      <c r="P1" s="121"/>
    </row>
    <row r="2" spans="1:16" x14ac:dyDescent="0.15">
      <c r="A2" s="3"/>
      <c r="B2" s="3"/>
      <c r="C2" s="3"/>
      <c r="D2" s="3"/>
      <c r="E2" s="3" t="s">
        <v>512</v>
      </c>
      <c r="F2" s="3"/>
      <c r="G2" s="3"/>
      <c r="H2" s="3"/>
      <c r="I2" s="3"/>
      <c r="J2" s="3"/>
      <c r="K2" s="3"/>
      <c r="L2" s="3"/>
      <c r="M2" s="3"/>
      <c r="N2" s="3"/>
      <c r="O2" s="3"/>
      <c r="P2" s="3"/>
    </row>
    <row r="3" spans="1:16" x14ac:dyDescent="0.15">
      <c r="A3" s="3"/>
      <c r="B3" s="3"/>
      <c r="C3" s="3"/>
      <c r="D3" s="3"/>
      <c r="E3" s="3"/>
      <c r="F3" s="3"/>
      <c r="G3" s="3"/>
      <c r="H3" s="3"/>
      <c r="I3" s="3"/>
      <c r="J3" s="3"/>
      <c r="K3" s="3"/>
      <c r="L3" s="3"/>
      <c r="M3" s="3"/>
      <c r="N3" s="3"/>
      <c r="O3" s="3"/>
      <c r="P3" s="3"/>
    </row>
    <row r="4" spans="1:16" ht="16" x14ac:dyDescent="0.2">
      <c r="A4" s="3"/>
      <c r="B4" s="270" t="s">
        <v>885</v>
      </c>
      <c r="C4" s="189"/>
      <c r="D4" s="189"/>
      <c r="E4" s="189"/>
      <c r="F4" s="189"/>
      <c r="G4" s="190"/>
      <c r="H4" s="3"/>
      <c r="I4" s="3"/>
      <c r="J4" s="527"/>
      <c r="K4" s="3"/>
      <c r="L4" s="3"/>
      <c r="M4" s="3"/>
      <c r="N4" s="3"/>
      <c r="O4" s="3"/>
      <c r="P4" s="3"/>
    </row>
    <row r="5" spans="1:16" ht="16" x14ac:dyDescent="0.2">
      <c r="A5" s="3"/>
      <c r="B5" s="621"/>
      <c r="C5" s="3"/>
      <c r="D5" s="3"/>
      <c r="E5" s="3"/>
      <c r="F5" s="3"/>
      <c r="G5" s="3"/>
      <c r="H5" s="3"/>
      <c r="I5" s="3"/>
      <c r="J5" s="527"/>
      <c r="K5" s="3"/>
      <c r="L5" s="3"/>
      <c r="M5" s="3"/>
      <c r="N5" s="3"/>
      <c r="O5" s="3"/>
      <c r="P5" s="3"/>
    </row>
    <row r="6" spans="1:16" x14ac:dyDescent="0.15">
      <c r="A6" s="3"/>
      <c r="B6" s="351" t="s">
        <v>1026</v>
      </c>
      <c r="C6" s="3"/>
      <c r="D6" s="3"/>
      <c r="E6" s="3"/>
      <c r="F6" s="3"/>
      <c r="G6" s="3"/>
      <c r="H6" s="3"/>
      <c r="I6" s="3"/>
      <c r="J6" s="3"/>
      <c r="K6" s="3"/>
      <c r="L6" s="3"/>
      <c r="M6" s="3"/>
      <c r="N6" s="3"/>
      <c r="O6" s="3"/>
      <c r="P6" s="3"/>
    </row>
    <row r="7" spans="1:16" x14ac:dyDescent="0.15">
      <c r="A7" s="3"/>
      <c r="B7" s="3"/>
      <c r="C7" s="3"/>
      <c r="D7" s="3"/>
      <c r="E7" s="3"/>
      <c r="F7" s="3"/>
      <c r="G7" s="3"/>
      <c r="H7" s="3"/>
      <c r="I7" s="3"/>
      <c r="J7" s="3"/>
      <c r="K7" s="3"/>
      <c r="L7" s="3"/>
      <c r="M7" s="3"/>
      <c r="N7" s="3"/>
      <c r="O7" s="3"/>
      <c r="P7" s="3"/>
    </row>
    <row r="8" spans="1:16" x14ac:dyDescent="0.15">
      <c r="A8" s="3"/>
      <c r="B8" s="3"/>
      <c r="C8" s="330"/>
      <c r="D8" s="331"/>
      <c r="E8" s="331"/>
      <c r="F8" s="331"/>
      <c r="G8" s="331"/>
      <c r="H8" s="331"/>
      <c r="I8" s="331"/>
      <c r="J8" s="331"/>
      <c r="K8" s="332"/>
      <c r="L8" s="3"/>
      <c r="M8" s="3"/>
      <c r="N8" s="3"/>
      <c r="O8" s="3"/>
      <c r="P8" s="3"/>
    </row>
    <row r="9" spans="1:16" x14ac:dyDescent="0.15">
      <c r="A9" s="3"/>
      <c r="B9" s="3"/>
      <c r="C9" s="348" t="s">
        <v>887</v>
      </c>
      <c r="D9" s="334"/>
      <c r="E9" s="334"/>
      <c r="F9" s="334"/>
      <c r="G9" s="334"/>
      <c r="H9" s="334"/>
      <c r="I9" s="334"/>
      <c r="J9" s="334"/>
      <c r="K9" s="321"/>
      <c r="L9" s="3"/>
      <c r="M9" s="3"/>
      <c r="N9" s="3"/>
      <c r="O9" s="3"/>
      <c r="P9" s="3"/>
    </row>
    <row r="10" spans="1:16" x14ac:dyDescent="0.15">
      <c r="A10" s="3"/>
      <c r="B10" s="3"/>
      <c r="C10" s="333"/>
      <c r="D10" s="334"/>
      <c r="E10" s="334"/>
      <c r="F10" s="334"/>
      <c r="G10" s="334"/>
      <c r="H10" s="334"/>
      <c r="I10" s="334"/>
      <c r="J10" s="334"/>
      <c r="K10" s="321"/>
      <c r="L10" s="3"/>
      <c r="M10" s="3"/>
      <c r="N10" s="3"/>
      <c r="O10" s="3"/>
      <c r="P10" s="3"/>
    </row>
    <row r="11" spans="1:16" x14ac:dyDescent="0.15">
      <c r="A11" s="3"/>
      <c r="B11" s="3"/>
      <c r="C11" s="333"/>
      <c r="D11" s="334"/>
      <c r="E11" s="334"/>
      <c r="F11" s="334" t="s">
        <v>916</v>
      </c>
      <c r="G11" s="334"/>
      <c r="H11" s="334" t="s">
        <v>917</v>
      </c>
      <c r="I11" s="334"/>
      <c r="J11" s="334" t="s">
        <v>914</v>
      </c>
      <c r="K11" s="321"/>
      <c r="L11" s="3"/>
      <c r="M11" s="3"/>
      <c r="N11" s="3"/>
      <c r="O11" s="3"/>
      <c r="P11" s="3"/>
    </row>
    <row r="12" spans="1:16" x14ac:dyDescent="0.15">
      <c r="A12" s="3"/>
      <c r="B12" s="3"/>
      <c r="C12" s="333"/>
      <c r="D12" s="334"/>
      <c r="E12" s="334"/>
      <c r="F12" s="334"/>
      <c r="G12" s="334"/>
      <c r="H12" s="334"/>
      <c r="I12" s="334"/>
      <c r="J12" s="334"/>
      <c r="K12" s="321"/>
      <c r="L12" s="3"/>
      <c r="M12" s="3"/>
      <c r="N12" s="3"/>
      <c r="O12" s="3"/>
      <c r="P12" s="3"/>
    </row>
    <row r="13" spans="1:16" x14ac:dyDescent="0.15">
      <c r="A13" s="3"/>
      <c r="B13" s="3"/>
      <c r="C13" s="333"/>
      <c r="D13" s="334"/>
      <c r="E13" s="334"/>
      <c r="F13" s="334"/>
      <c r="G13" s="334"/>
      <c r="H13" s="334"/>
      <c r="I13" s="334"/>
      <c r="J13" s="334"/>
      <c r="K13" s="321"/>
      <c r="L13" s="3"/>
      <c r="M13" s="3"/>
      <c r="N13" s="3"/>
      <c r="O13" s="3"/>
      <c r="P13" s="3"/>
    </row>
    <row r="14" spans="1:16" x14ac:dyDescent="0.15">
      <c r="A14" s="3"/>
      <c r="B14" s="3"/>
      <c r="C14" s="333"/>
      <c r="D14" s="334"/>
      <c r="E14" s="334"/>
      <c r="F14" s="334"/>
      <c r="G14" s="334"/>
      <c r="H14" s="334"/>
      <c r="I14" s="334"/>
      <c r="J14" s="334"/>
      <c r="K14" s="321"/>
      <c r="L14" s="3"/>
      <c r="M14" s="3"/>
      <c r="N14" s="3"/>
      <c r="O14" s="3"/>
      <c r="P14" s="3"/>
    </row>
    <row r="15" spans="1:16" x14ac:dyDescent="0.15">
      <c r="A15" s="3"/>
      <c r="B15" s="3"/>
      <c r="C15" s="333"/>
      <c r="D15" s="334"/>
      <c r="E15" s="334"/>
      <c r="F15" s="334"/>
      <c r="G15" s="334"/>
      <c r="H15" s="334"/>
      <c r="I15" s="334"/>
      <c r="J15" s="334"/>
      <c r="K15" s="321"/>
      <c r="L15" s="3"/>
      <c r="M15" s="3"/>
      <c r="N15" s="3"/>
      <c r="O15" s="3"/>
      <c r="P15" s="3"/>
    </row>
    <row r="16" spans="1:16" x14ac:dyDescent="0.15">
      <c r="A16" s="3"/>
      <c r="B16" s="3"/>
      <c r="C16" s="333" t="s">
        <v>888</v>
      </c>
      <c r="D16" s="334"/>
      <c r="E16" s="346">
        <v>40</v>
      </c>
      <c r="F16" s="334" t="s">
        <v>889</v>
      </c>
      <c r="G16" s="415">
        <f>10*LOG10(E16)</f>
        <v>16.020599913279622</v>
      </c>
      <c r="H16" s="334" t="s">
        <v>892</v>
      </c>
      <c r="I16" s="326">
        <f>G16+30</f>
        <v>46.020599913279625</v>
      </c>
      <c r="J16" s="334" t="s">
        <v>580</v>
      </c>
      <c r="K16" s="321" t="s">
        <v>512</v>
      </c>
      <c r="L16" s="3"/>
      <c r="M16" s="3"/>
      <c r="N16" s="3"/>
      <c r="O16" s="3"/>
      <c r="P16" s="3"/>
    </row>
    <row r="17" spans="1:16" x14ac:dyDescent="0.15">
      <c r="A17" s="3"/>
      <c r="B17" s="3"/>
      <c r="C17" s="333"/>
      <c r="D17" s="334"/>
      <c r="E17" s="334"/>
      <c r="F17" s="334"/>
      <c r="G17" s="334"/>
      <c r="H17" s="334"/>
      <c r="I17" s="334"/>
      <c r="J17" s="334"/>
      <c r="K17" s="321"/>
      <c r="L17" s="3"/>
      <c r="M17" s="3"/>
      <c r="N17" s="3"/>
      <c r="O17" s="3"/>
      <c r="P17" s="3"/>
    </row>
    <row r="18" spans="1:16" x14ac:dyDescent="0.15">
      <c r="A18" s="3"/>
      <c r="B18" s="3"/>
      <c r="C18" s="333" t="s">
        <v>965</v>
      </c>
      <c r="D18" s="334"/>
      <c r="E18" s="334"/>
      <c r="F18" s="334" t="s">
        <v>512</v>
      </c>
      <c r="G18" s="334"/>
      <c r="H18" s="334"/>
      <c r="I18" s="334"/>
      <c r="J18" s="334"/>
      <c r="K18" s="321"/>
      <c r="L18" s="3"/>
      <c r="M18" s="3"/>
      <c r="N18" s="3"/>
      <c r="O18" s="3"/>
      <c r="P18" s="3"/>
    </row>
    <row r="19" spans="1:16" x14ac:dyDescent="0.15">
      <c r="A19" s="3"/>
      <c r="B19" s="3"/>
      <c r="C19" s="333"/>
      <c r="D19" s="337" t="s">
        <v>918</v>
      </c>
      <c r="E19" s="334"/>
      <c r="F19" s="334"/>
      <c r="G19" s="334"/>
      <c r="H19" s="334"/>
      <c r="I19" s="347">
        <v>1.5</v>
      </c>
      <c r="J19" s="334" t="s">
        <v>552</v>
      </c>
      <c r="K19" s="321"/>
      <c r="L19" s="3"/>
      <c r="M19" s="3"/>
      <c r="N19" s="3"/>
      <c r="O19" s="3"/>
      <c r="P19" s="3"/>
    </row>
    <row r="20" spans="1:16" x14ac:dyDescent="0.15">
      <c r="A20" s="3"/>
      <c r="B20" s="3"/>
      <c r="C20" s="333"/>
      <c r="D20" s="337" t="s">
        <v>919</v>
      </c>
      <c r="E20" s="334"/>
      <c r="F20" s="334"/>
      <c r="G20" s="334"/>
      <c r="H20" s="334"/>
      <c r="I20" s="347">
        <v>0.5</v>
      </c>
      <c r="J20" s="334" t="s">
        <v>552</v>
      </c>
      <c r="K20" s="321"/>
      <c r="L20" s="3"/>
      <c r="M20" s="3"/>
      <c r="N20" s="3"/>
      <c r="O20" s="3"/>
      <c r="P20" s="3"/>
    </row>
    <row r="21" spans="1:16" x14ac:dyDescent="0.15">
      <c r="A21" s="3"/>
      <c r="B21" s="3"/>
      <c r="C21" s="333"/>
      <c r="D21" s="337" t="s">
        <v>920</v>
      </c>
      <c r="E21" s="334"/>
      <c r="F21" s="334"/>
      <c r="G21" s="334"/>
      <c r="H21" s="334"/>
      <c r="I21" s="347">
        <v>2</v>
      </c>
      <c r="J21" s="334" t="s">
        <v>552</v>
      </c>
      <c r="K21" s="321"/>
      <c r="L21" s="3"/>
      <c r="M21" s="3"/>
      <c r="N21" s="3"/>
      <c r="O21" s="3"/>
      <c r="P21" s="3"/>
    </row>
    <row r="22" spans="1:16" x14ac:dyDescent="0.15">
      <c r="A22" s="3"/>
      <c r="B22" s="3"/>
      <c r="C22" s="333"/>
      <c r="D22" s="334"/>
      <c r="E22" s="334"/>
      <c r="F22" s="334" t="s">
        <v>512</v>
      </c>
      <c r="G22" s="334"/>
      <c r="H22" s="334"/>
      <c r="I22" s="334"/>
      <c r="J22" s="334" t="s">
        <v>512</v>
      </c>
      <c r="K22" s="321"/>
      <c r="L22" s="3"/>
      <c r="M22" s="3"/>
      <c r="N22" s="3"/>
      <c r="O22" s="3"/>
      <c r="P22" s="3"/>
    </row>
    <row r="23" spans="1:16" x14ac:dyDescent="0.15">
      <c r="A23" s="3"/>
      <c r="B23" s="3"/>
      <c r="C23" s="333"/>
      <c r="D23" s="334" t="s">
        <v>925</v>
      </c>
      <c r="E23" s="334"/>
      <c r="F23" s="334" t="s">
        <v>512</v>
      </c>
      <c r="G23" s="334"/>
      <c r="H23" s="334"/>
      <c r="I23" s="698">
        <f>SUM(I19:I21)</f>
        <v>4</v>
      </c>
      <c r="J23" s="334" t="s">
        <v>552</v>
      </c>
      <c r="K23" s="321"/>
      <c r="L23" s="3"/>
      <c r="M23" s="3"/>
      <c r="N23" s="3"/>
      <c r="O23" s="3"/>
      <c r="P23" s="3"/>
    </row>
    <row r="24" spans="1:16" x14ac:dyDescent="0.15">
      <c r="A24" s="3"/>
      <c r="B24" s="3"/>
      <c r="C24" s="333"/>
      <c r="D24" s="334" t="s">
        <v>165</v>
      </c>
      <c r="E24" s="334"/>
      <c r="F24" s="334"/>
      <c r="G24" s="334"/>
      <c r="H24" s="334"/>
      <c r="I24" s="696" t="s">
        <v>749</v>
      </c>
      <c r="J24" s="285" t="s">
        <v>905</v>
      </c>
      <c r="K24" s="321"/>
      <c r="L24" s="3"/>
      <c r="M24" s="3"/>
      <c r="N24" s="3"/>
      <c r="O24" s="3"/>
      <c r="P24" s="3"/>
    </row>
    <row r="25" spans="1:16" x14ac:dyDescent="0.15">
      <c r="A25" s="3"/>
      <c r="B25" s="3"/>
      <c r="C25" s="333"/>
      <c r="D25" s="334" t="s">
        <v>164</v>
      </c>
      <c r="E25" s="473">
        <v>0.05</v>
      </c>
      <c r="F25" s="334" t="s">
        <v>907</v>
      </c>
      <c r="G25" s="685">
        <f>Frequency!M10</f>
        <v>436.5</v>
      </c>
      <c r="H25" s="334" t="s">
        <v>908</v>
      </c>
      <c r="I25" s="336">
        <f>I23*E25</f>
        <v>0.2</v>
      </c>
      <c r="J25" s="334" t="s">
        <v>554</v>
      </c>
      <c r="K25" s="321"/>
      <c r="L25" s="3"/>
      <c r="M25" s="3"/>
      <c r="N25" s="3"/>
      <c r="O25" s="3"/>
      <c r="P25" s="3"/>
    </row>
    <row r="26" spans="1:16" x14ac:dyDescent="0.15">
      <c r="A26" s="3"/>
      <c r="B26" s="3"/>
      <c r="C26" s="333"/>
      <c r="D26" s="334"/>
      <c r="E26" s="338"/>
      <c r="F26" s="334"/>
      <c r="G26" s="336"/>
      <c r="H26" s="334"/>
      <c r="I26" s="336"/>
      <c r="J26" s="334"/>
      <c r="K26" s="321"/>
      <c r="L26" s="3"/>
      <c r="M26" s="699"/>
      <c r="N26" s="3"/>
      <c r="O26" s="3"/>
      <c r="P26" s="3"/>
    </row>
    <row r="27" spans="1:16" x14ac:dyDescent="0.15">
      <c r="A27" s="3"/>
      <c r="B27" s="3"/>
      <c r="C27" s="333" t="s">
        <v>909</v>
      </c>
      <c r="D27" s="334"/>
      <c r="E27" s="338"/>
      <c r="F27" s="334"/>
      <c r="G27" s="336"/>
      <c r="H27" s="334"/>
      <c r="I27" s="336"/>
      <c r="J27" s="334"/>
      <c r="K27" s="321"/>
      <c r="L27" s="3"/>
      <c r="M27" s="3"/>
      <c r="N27" s="3"/>
      <c r="O27" s="3"/>
      <c r="P27" s="3"/>
    </row>
    <row r="28" spans="1:16" x14ac:dyDescent="0.15">
      <c r="A28" s="3"/>
      <c r="B28" s="3"/>
      <c r="C28" s="333"/>
      <c r="D28" s="334"/>
      <c r="E28" s="338"/>
      <c r="F28" s="334"/>
      <c r="G28" s="336"/>
      <c r="H28" s="334"/>
      <c r="I28" s="336"/>
      <c r="J28" s="334"/>
      <c r="K28" s="321"/>
      <c r="L28" s="3"/>
      <c r="M28" s="3"/>
      <c r="N28" s="3"/>
      <c r="O28" s="3"/>
      <c r="P28" s="3"/>
    </row>
    <row r="29" spans="1:16" x14ac:dyDescent="0.15">
      <c r="A29" s="3"/>
      <c r="B29" s="3"/>
      <c r="C29" s="333"/>
      <c r="D29" s="334" t="s">
        <v>903</v>
      </c>
      <c r="E29" s="262">
        <v>6</v>
      </c>
      <c r="F29" s="334" t="s">
        <v>915</v>
      </c>
      <c r="G29" s="334"/>
      <c r="H29" s="334"/>
      <c r="I29" s="336">
        <f>E29*0.05</f>
        <v>0.30000000000000004</v>
      </c>
      <c r="J29" s="334" t="s">
        <v>554</v>
      </c>
      <c r="K29" s="321"/>
      <c r="L29" s="32"/>
      <c r="M29" s="3"/>
      <c r="N29" s="3"/>
      <c r="O29" s="3"/>
      <c r="P29" s="3"/>
    </row>
    <row r="30" spans="1:16" x14ac:dyDescent="0.15">
      <c r="A30" s="3"/>
      <c r="B30" s="3"/>
      <c r="C30" s="333"/>
      <c r="D30" s="334" t="s">
        <v>902</v>
      </c>
      <c r="E30" s="334"/>
      <c r="F30" s="334"/>
      <c r="G30" s="334"/>
      <c r="H30" s="334"/>
      <c r="I30" s="347">
        <v>0</v>
      </c>
      <c r="J30" s="334" t="s">
        <v>554</v>
      </c>
      <c r="K30" s="321"/>
      <c r="L30" s="3"/>
      <c r="M30" s="3"/>
      <c r="N30" s="3"/>
      <c r="O30" s="3"/>
      <c r="P30" s="3"/>
    </row>
    <row r="31" spans="1:16" x14ac:dyDescent="0.15">
      <c r="A31" s="3"/>
      <c r="B31" s="3"/>
      <c r="C31" s="333"/>
      <c r="D31" s="334" t="s">
        <v>904</v>
      </c>
      <c r="E31" s="337" t="s">
        <v>929</v>
      </c>
      <c r="F31" s="284" t="s">
        <v>921</v>
      </c>
      <c r="G31" s="380"/>
      <c r="H31" s="334"/>
      <c r="I31" s="262">
        <v>0</v>
      </c>
      <c r="J31" s="334" t="s">
        <v>554</v>
      </c>
      <c r="K31" s="321"/>
      <c r="L31" s="3"/>
      <c r="M31" s="3"/>
      <c r="N31" s="3"/>
      <c r="O31" s="3"/>
      <c r="P31" s="3"/>
    </row>
    <row r="32" spans="1:16" x14ac:dyDescent="0.15">
      <c r="A32" s="3"/>
      <c r="B32" s="3"/>
      <c r="C32" s="333"/>
      <c r="D32" s="334"/>
      <c r="E32" s="337"/>
      <c r="F32" s="339"/>
      <c r="G32" s="334"/>
      <c r="H32" s="334"/>
      <c r="I32" s="335"/>
      <c r="J32" s="334"/>
      <c r="K32" s="321"/>
      <c r="L32" s="3"/>
      <c r="M32" s="3"/>
      <c r="N32" s="3"/>
      <c r="O32" s="3"/>
      <c r="P32" s="3"/>
    </row>
    <row r="33" spans="1:16" x14ac:dyDescent="0.15">
      <c r="A33" s="3"/>
      <c r="B33" s="3"/>
      <c r="C33" s="333"/>
      <c r="D33" s="334" t="s">
        <v>913</v>
      </c>
      <c r="E33" s="334"/>
      <c r="F33" s="334" t="s">
        <v>223</v>
      </c>
      <c r="G33" s="334"/>
      <c r="H33" s="334"/>
      <c r="I33" s="262">
        <v>0.5</v>
      </c>
      <c r="J33" s="334" t="s">
        <v>554</v>
      </c>
      <c r="K33" s="321"/>
      <c r="L33" s="3"/>
      <c r="M33" s="3"/>
      <c r="N33" s="3"/>
      <c r="O33" s="3"/>
      <c r="P33" s="3"/>
    </row>
    <row r="34" spans="1:16" x14ac:dyDescent="0.15">
      <c r="A34" s="3"/>
      <c r="B34" s="3"/>
      <c r="C34" s="333"/>
      <c r="D34" s="334"/>
      <c r="E34" s="334"/>
      <c r="F34" s="334"/>
      <c r="G34" s="334"/>
      <c r="H34" s="334"/>
      <c r="I34" s="335"/>
      <c r="J34" s="334"/>
      <c r="K34" s="321"/>
      <c r="L34" s="3"/>
      <c r="M34" s="3"/>
      <c r="N34" s="3"/>
      <c r="O34" s="3"/>
      <c r="P34" s="3"/>
    </row>
    <row r="35" spans="1:16" x14ac:dyDescent="0.15">
      <c r="A35" s="3"/>
      <c r="B35" s="3"/>
      <c r="C35" s="333" t="s">
        <v>911</v>
      </c>
      <c r="D35" s="334"/>
      <c r="E35" s="334"/>
      <c r="F35" s="334"/>
      <c r="G35" s="334"/>
      <c r="H35" s="334"/>
      <c r="I35" s="723">
        <f>I25+I29+I30+I31+I33</f>
        <v>1</v>
      </c>
      <c r="J35" s="334" t="s">
        <v>554</v>
      </c>
      <c r="K35" s="321"/>
      <c r="L35" s="3"/>
      <c r="M35" s="3"/>
      <c r="N35" s="3"/>
      <c r="O35" s="3"/>
      <c r="P35" s="3"/>
    </row>
    <row r="36" spans="1:16" x14ac:dyDescent="0.15">
      <c r="A36" s="3"/>
      <c r="B36" s="3"/>
      <c r="C36" s="333"/>
      <c r="D36" s="334"/>
      <c r="E36" s="334"/>
      <c r="F36" s="334"/>
      <c r="G36" s="334"/>
      <c r="H36" s="334"/>
      <c r="I36" s="340"/>
      <c r="J36" s="334"/>
      <c r="K36" s="321"/>
      <c r="L36" s="3"/>
      <c r="M36" s="3"/>
      <c r="N36" s="3"/>
      <c r="O36" s="3"/>
      <c r="P36" s="3"/>
    </row>
    <row r="37" spans="1:16" x14ac:dyDescent="0.15">
      <c r="A37" s="3"/>
      <c r="B37" s="3"/>
      <c r="C37" s="333" t="s">
        <v>927</v>
      </c>
      <c r="D37" s="334"/>
      <c r="E37" s="334"/>
      <c r="F37" s="334"/>
      <c r="G37" s="334"/>
      <c r="H37" s="334"/>
      <c r="I37" s="325">
        <f>G16-I35</f>
        <v>15.020599913279622</v>
      </c>
      <c r="J37" s="334" t="s">
        <v>579</v>
      </c>
      <c r="K37" s="321"/>
      <c r="L37" s="3"/>
      <c r="M37" s="3"/>
      <c r="N37" s="3"/>
      <c r="O37" s="3"/>
      <c r="P37" s="3"/>
    </row>
    <row r="38" spans="1:16" x14ac:dyDescent="0.15">
      <c r="A38" s="3"/>
      <c r="B38" s="3"/>
      <c r="C38" s="341"/>
      <c r="D38" s="342"/>
      <c r="E38" s="342"/>
      <c r="F38" s="342"/>
      <c r="G38" s="342"/>
      <c r="H38" s="342"/>
      <c r="I38" s="342"/>
      <c r="J38" s="342"/>
      <c r="K38" s="343"/>
      <c r="L38" s="3"/>
      <c r="M38" s="3"/>
      <c r="N38" s="3"/>
      <c r="O38" s="3"/>
      <c r="P38" s="3"/>
    </row>
    <row r="39" spans="1:16" x14ac:dyDescent="0.15">
      <c r="A39" s="3"/>
      <c r="B39" s="3"/>
      <c r="C39" s="3"/>
      <c r="D39" s="3"/>
      <c r="E39" s="3"/>
      <c r="F39" s="3"/>
      <c r="G39" s="3"/>
      <c r="H39" s="3"/>
      <c r="I39" s="3"/>
      <c r="J39" s="3"/>
      <c r="K39" s="3"/>
      <c r="L39" s="3"/>
      <c r="M39" s="3"/>
      <c r="N39" s="3"/>
      <c r="O39" s="3"/>
      <c r="P39" s="3"/>
    </row>
    <row r="40" spans="1:16" x14ac:dyDescent="0.15">
      <c r="A40" s="3"/>
      <c r="B40" s="3"/>
      <c r="C40" s="3"/>
      <c r="D40" s="3"/>
      <c r="E40" s="3"/>
      <c r="F40" s="3"/>
      <c r="G40" s="3"/>
      <c r="H40" s="3"/>
      <c r="I40" s="3"/>
      <c r="J40" s="3"/>
      <c r="K40" s="3"/>
      <c r="L40" s="3"/>
      <c r="M40" s="3"/>
      <c r="N40" s="3"/>
      <c r="O40" s="3"/>
      <c r="P40" s="3"/>
    </row>
    <row r="41" spans="1:16" ht="16" x14ac:dyDescent="0.2">
      <c r="A41" s="3"/>
      <c r="B41" s="270" t="s">
        <v>886</v>
      </c>
      <c r="C41" s="189"/>
      <c r="D41" s="189"/>
      <c r="E41" s="189"/>
      <c r="F41" s="189"/>
      <c r="G41" s="190"/>
      <c r="H41" s="3"/>
      <c r="I41" s="3"/>
      <c r="J41" s="3"/>
      <c r="K41" s="3"/>
      <c r="L41" s="3"/>
      <c r="M41" s="3" t="s">
        <v>512</v>
      </c>
      <c r="N41" s="3"/>
      <c r="O41" s="3"/>
      <c r="P41" s="3"/>
    </row>
    <row r="42" spans="1:16" x14ac:dyDescent="0.15">
      <c r="A42" s="3"/>
      <c r="B42" s="3"/>
      <c r="C42" s="3"/>
      <c r="D42" s="3"/>
      <c r="E42" s="3"/>
      <c r="F42" s="3"/>
      <c r="G42" s="3"/>
      <c r="H42" s="3"/>
      <c r="I42" s="3"/>
      <c r="J42" s="3"/>
      <c r="K42" s="3"/>
      <c r="L42" s="3"/>
      <c r="M42" s="3"/>
      <c r="N42" s="3"/>
      <c r="O42" s="3"/>
      <c r="P42" s="3"/>
    </row>
    <row r="43" spans="1:16" x14ac:dyDescent="0.15">
      <c r="A43" s="3"/>
      <c r="B43" s="3"/>
      <c r="C43" s="3"/>
      <c r="D43" s="3"/>
      <c r="E43" s="3"/>
      <c r="F43" s="3"/>
      <c r="G43" s="3"/>
      <c r="H43" s="3"/>
      <c r="I43" s="3"/>
      <c r="J43" s="3"/>
      <c r="K43" s="3"/>
      <c r="L43" s="3"/>
      <c r="M43" s="3"/>
      <c r="N43" s="3"/>
      <c r="O43" s="3"/>
      <c r="P43" s="3"/>
    </row>
    <row r="44" spans="1:16" x14ac:dyDescent="0.15">
      <c r="A44" s="3"/>
      <c r="B44" s="3"/>
      <c r="C44" s="318" t="s">
        <v>887</v>
      </c>
      <c r="D44" s="180"/>
      <c r="E44" s="180"/>
      <c r="F44" s="180"/>
      <c r="G44" s="180"/>
      <c r="H44" s="180"/>
      <c r="I44" s="180"/>
      <c r="J44" s="180"/>
      <c r="K44" s="181"/>
      <c r="L44" s="3"/>
      <c r="M44" s="3"/>
      <c r="N44" s="3"/>
      <c r="O44" s="3"/>
      <c r="P44" s="3"/>
    </row>
    <row r="45" spans="1:16" x14ac:dyDescent="0.15">
      <c r="A45" s="3"/>
      <c r="B45" s="3"/>
      <c r="C45" s="177"/>
      <c r="D45" s="137"/>
      <c r="E45" s="137"/>
      <c r="F45" s="137"/>
      <c r="G45" s="137"/>
      <c r="H45" s="137"/>
      <c r="I45" s="137"/>
      <c r="J45" s="137"/>
      <c r="K45" s="182"/>
      <c r="L45" s="3"/>
      <c r="M45" s="3"/>
      <c r="N45" s="3"/>
      <c r="O45" s="3"/>
      <c r="P45" s="3"/>
    </row>
    <row r="46" spans="1:16" x14ac:dyDescent="0.15">
      <c r="A46" s="3"/>
      <c r="B46" s="3"/>
      <c r="C46" s="177"/>
      <c r="D46" s="138" t="s">
        <v>924</v>
      </c>
      <c r="E46" s="137"/>
      <c r="F46" s="192" t="s">
        <v>922</v>
      </c>
      <c r="G46" s="137"/>
      <c r="H46" s="137" t="s">
        <v>923</v>
      </c>
      <c r="I46" s="137"/>
      <c r="J46" s="137" t="s">
        <v>914</v>
      </c>
      <c r="K46" s="182"/>
      <c r="L46" s="3"/>
      <c r="M46" s="3"/>
      <c r="N46" s="3"/>
      <c r="O46" s="3"/>
      <c r="P46" s="3"/>
    </row>
    <row r="47" spans="1:16" x14ac:dyDescent="0.15">
      <c r="A47" s="3"/>
      <c r="B47" s="3"/>
      <c r="C47" s="177"/>
      <c r="D47" s="137"/>
      <c r="E47" s="137"/>
      <c r="F47" s="137"/>
      <c r="G47" s="137"/>
      <c r="H47" s="137"/>
      <c r="I47" s="137"/>
      <c r="J47" s="137"/>
      <c r="K47" s="182"/>
      <c r="L47" s="3"/>
      <c r="M47" s="3"/>
      <c r="N47" s="3"/>
      <c r="O47" s="3"/>
      <c r="P47" s="3"/>
    </row>
    <row r="48" spans="1:16" x14ac:dyDescent="0.15">
      <c r="A48" s="3"/>
      <c r="B48" s="3"/>
      <c r="C48" s="177"/>
      <c r="D48" s="137"/>
      <c r="E48" s="137"/>
      <c r="F48" s="137"/>
      <c r="G48" s="137"/>
      <c r="H48" s="137"/>
      <c r="I48" s="137"/>
      <c r="J48" s="137"/>
      <c r="K48" s="182"/>
      <c r="L48" s="3"/>
      <c r="M48" s="3"/>
      <c r="N48" s="3"/>
      <c r="O48" s="3"/>
      <c r="P48" s="3"/>
    </row>
    <row r="49" spans="1:16" x14ac:dyDescent="0.15">
      <c r="A49" s="3"/>
      <c r="B49" s="3"/>
      <c r="C49" s="177"/>
      <c r="D49" s="137"/>
      <c r="E49" s="137"/>
      <c r="F49" s="137"/>
      <c r="G49" s="137"/>
      <c r="H49" s="137"/>
      <c r="I49" s="137"/>
      <c r="J49" s="137"/>
      <c r="K49" s="182"/>
      <c r="L49" s="3"/>
      <c r="M49" s="3"/>
      <c r="N49" s="3"/>
      <c r="O49" s="3"/>
      <c r="P49" s="3"/>
    </row>
    <row r="50" spans="1:16" x14ac:dyDescent="0.15">
      <c r="A50" s="3"/>
      <c r="B50" s="3"/>
      <c r="C50" s="177"/>
      <c r="D50" s="137"/>
      <c r="E50" s="137"/>
      <c r="F50" s="137"/>
      <c r="G50" s="137"/>
      <c r="H50" s="137"/>
      <c r="I50" s="137"/>
      <c r="J50" s="137"/>
      <c r="K50" s="182"/>
      <c r="L50" s="3"/>
      <c r="M50" s="3"/>
      <c r="N50" s="3"/>
      <c r="O50" s="3"/>
      <c r="P50" s="3"/>
    </row>
    <row r="51" spans="1:16" x14ac:dyDescent="0.15">
      <c r="A51" s="3"/>
      <c r="B51" s="3"/>
      <c r="C51" s="177"/>
      <c r="D51" s="137"/>
      <c r="E51" s="137"/>
      <c r="F51" s="137"/>
      <c r="G51" s="137"/>
      <c r="H51" s="137"/>
      <c r="I51" s="137"/>
      <c r="J51" s="137"/>
      <c r="K51" s="182"/>
      <c r="L51" s="3"/>
      <c r="M51" s="3"/>
      <c r="N51" s="3"/>
      <c r="O51" s="3"/>
      <c r="P51" s="3"/>
    </row>
    <row r="52" spans="1:16" x14ac:dyDescent="0.15">
      <c r="A52" s="3"/>
      <c r="B52" s="3"/>
      <c r="C52" s="177" t="s">
        <v>888</v>
      </c>
      <c r="D52" s="137"/>
      <c r="E52" s="347">
        <v>1</v>
      </c>
      <c r="F52" s="137" t="s">
        <v>889</v>
      </c>
      <c r="G52" s="415">
        <f>10*LOG10(E52)</f>
        <v>0</v>
      </c>
      <c r="H52" s="137" t="s">
        <v>892</v>
      </c>
      <c r="I52" s="326">
        <f>G52+30</f>
        <v>30</v>
      </c>
      <c r="J52" s="137" t="s">
        <v>580</v>
      </c>
      <c r="K52" s="182" t="s">
        <v>512</v>
      </c>
      <c r="L52" s="3"/>
      <c r="M52" s="3"/>
      <c r="N52" s="3"/>
      <c r="O52" s="3"/>
      <c r="P52" s="3"/>
    </row>
    <row r="53" spans="1:16" x14ac:dyDescent="0.15">
      <c r="A53" s="3"/>
      <c r="B53" s="3"/>
      <c r="C53" s="177"/>
      <c r="D53" s="137"/>
      <c r="E53" s="137"/>
      <c r="F53" s="137"/>
      <c r="G53" s="137"/>
      <c r="H53" s="137"/>
      <c r="I53" s="137"/>
      <c r="J53" s="137"/>
      <c r="K53" s="182"/>
      <c r="L53" s="3"/>
      <c r="M53" s="3"/>
      <c r="N53" s="3"/>
      <c r="O53" s="3"/>
      <c r="P53" s="3"/>
    </row>
    <row r="54" spans="1:16" x14ac:dyDescent="0.15">
      <c r="A54" s="3"/>
      <c r="B54" s="3"/>
      <c r="C54" s="177" t="s">
        <v>894</v>
      </c>
      <c r="D54" s="137"/>
      <c r="E54" s="137"/>
      <c r="F54" s="137" t="s">
        <v>512</v>
      </c>
      <c r="G54" s="137"/>
      <c r="H54" s="137"/>
      <c r="I54" s="137"/>
      <c r="J54" s="137"/>
      <c r="K54" s="182"/>
      <c r="L54" s="3"/>
      <c r="M54" s="3"/>
      <c r="N54" s="3"/>
      <c r="O54" s="3"/>
      <c r="P54" s="3"/>
    </row>
    <row r="55" spans="1:16" x14ac:dyDescent="0.15">
      <c r="A55" s="3"/>
      <c r="B55" s="3"/>
      <c r="C55" s="177"/>
      <c r="D55" s="137" t="s">
        <v>918</v>
      </c>
      <c r="E55" s="137"/>
      <c r="F55" s="137"/>
      <c r="G55" s="137"/>
      <c r="H55" s="137"/>
      <c r="I55" s="349">
        <v>0.1</v>
      </c>
      <c r="J55" s="137" t="s">
        <v>552</v>
      </c>
      <c r="K55" s="182"/>
      <c r="L55" s="3"/>
      <c r="M55" s="3"/>
      <c r="N55" s="3"/>
      <c r="O55" s="3"/>
      <c r="P55" s="3"/>
    </row>
    <row r="56" spans="1:16" x14ac:dyDescent="0.15">
      <c r="A56" s="3"/>
      <c r="B56" s="3"/>
      <c r="C56" s="177"/>
      <c r="D56" s="137" t="s">
        <v>919</v>
      </c>
      <c r="E56" s="137"/>
      <c r="F56" s="137"/>
      <c r="G56" s="137"/>
      <c r="H56" s="137"/>
      <c r="I56" s="349">
        <v>0</v>
      </c>
      <c r="J56" s="137" t="s">
        <v>552</v>
      </c>
      <c r="K56" s="182"/>
      <c r="L56" s="3"/>
      <c r="M56" s="3"/>
      <c r="N56" s="3"/>
      <c r="O56" s="3"/>
      <c r="P56" s="3"/>
    </row>
    <row r="57" spans="1:16" x14ac:dyDescent="0.15">
      <c r="A57" s="3"/>
      <c r="B57" s="3"/>
      <c r="C57" s="177"/>
      <c r="D57" s="137" t="s">
        <v>920</v>
      </c>
      <c r="E57" s="137"/>
      <c r="F57" s="137"/>
      <c r="G57" s="137"/>
      <c r="H57" s="137"/>
      <c r="I57" s="349">
        <v>0</v>
      </c>
      <c r="J57" s="137" t="s">
        <v>552</v>
      </c>
      <c r="K57" s="182"/>
      <c r="L57" s="3"/>
      <c r="M57" s="3"/>
      <c r="N57" s="3"/>
      <c r="O57" s="3"/>
      <c r="P57" s="3"/>
    </row>
    <row r="58" spans="1:16" x14ac:dyDescent="0.15">
      <c r="A58" s="3"/>
      <c r="B58" s="3"/>
      <c r="C58" s="177"/>
      <c r="D58" s="137"/>
      <c r="E58" s="137"/>
      <c r="F58" s="137" t="s">
        <v>512</v>
      </c>
      <c r="G58" s="137"/>
      <c r="H58" s="137"/>
      <c r="I58" s="137"/>
      <c r="J58" s="137" t="s">
        <v>512</v>
      </c>
      <c r="K58" s="182"/>
      <c r="L58" s="3"/>
      <c r="M58" s="3"/>
      <c r="N58" s="3"/>
      <c r="O58" s="3"/>
      <c r="P58" s="3"/>
    </row>
    <row r="59" spans="1:16" x14ac:dyDescent="0.15">
      <c r="A59" s="3"/>
      <c r="B59" s="3"/>
      <c r="C59" s="177"/>
      <c r="D59" s="137" t="s">
        <v>926</v>
      </c>
      <c r="E59" s="137"/>
      <c r="F59" s="137" t="s">
        <v>512</v>
      </c>
      <c r="G59" s="137"/>
      <c r="H59" s="137"/>
      <c r="I59" s="700">
        <f>SUM(I55:I57)</f>
        <v>0.1</v>
      </c>
      <c r="J59" s="137" t="s">
        <v>552</v>
      </c>
      <c r="K59" s="182"/>
      <c r="L59" s="3"/>
      <c r="M59" s="3"/>
      <c r="N59" s="3"/>
      <c r="O59" s="3"/>
      <c r="P59" s="3"/>
    </row>
    <row r="60" spans="1:16" x14ac:dyDescent="0.15">
      <c r="A60" s="3"/>
      <c r="B60" s="3"/>
      <c r="C60" s="177"/>
      <c r="D60" s="137" t="s">
        <v>901</v>
      </c>
      <c r="E60" s="137"/>
      <c r="F60" s="137"/>
      <c r="G60" s="137"/>
      <c r="H60" s="137"/>
      <c r="I60" s="910" t="s">
        <v>1069</v>
      </c>
      <c r="J60" s="137" t="s">
        <v>905</v>
      </c>
      <c r="K60" s="182"/>
      <c r="L60" s="3"/>
      <c r="M60" s="3"/>
      <c r="N60" s="3"/>
      <c r="O60" s="3"/>
      <c r="P60" s="3"/>
    </row>
    <row r="61" spans="1:16" x14ac:dyDescent="0.15">
      <c r="A61" s="3"/>
      <c r="B61" s="3"/>
      <c r="C61" s="177"/>
      <c r="D61" s="137" t="s">
        <v>906</v>
      </c>
      <c r="E61" s="473">
        <v>0.66</v>
      </c>
      <c r="F61" s="137" t="s">
        <v>907</v>
      </c>
      <c r="G61" s="421">
        <f>Frequency!M16</f>
        <v>436.5</v>
      </c>
      <c r="H61" s="137" t="s">
        <v>908</v>
      </c>
      <c r="I61" s="192">
        <f>I59*E61</f>
        <v>6.6000000000000003E-2</v>
      </c>
      <c r="J61" s="137" t="s">
        <v>554</v>
      </c>
      <c r="K61" s="182"/>
      <c r="L61" s="3"/>
      <c r="M61" s="3"/>
      <c r="N61" s="3"/>
      <c r="O61" s="3"/>
      <c r="P61" s="3"/>
    </row>
    <row r="62" spans="1:16" x14ac:dyDescent="0.15">
      <c r="A62" s="3"/>
      <c r="B62" s="3"/>
      <c r="C62" s="177"/>
      <c r="D62" s="137"/>
      <c r="E62" s="328"/>
      <c r="F62" s="137"/>
      <c r="G62" s="192"/>
      <c r="H62" s="137"/>
      <c r="I62" s="192"/>
      <c r="J62" s="137"/>
      <c r="K62" s="182"/>
      <c r="L62" s="3"/>
      <c r="M62" s="3"/>
      <c r="N62" s="3"/>
      <c r="O62" s="3"/>
      <c r="P62" s="3"/>
    </row>
    <row r="63" spans="1:16" x14ac:dyDescent="0.15">
      <c r="A63" s="3"/>
      <c r="B63" s="3"/>
      <c r="C63" s="177" t="s">
        <v>909</v>
      </c>
      <c r="D63" s="137"/>
      <c r="E63" s="328"/>
      <c r="F63" s="137"/>
      <c r="G63" s="192"/>
      <c r="H63" s="137"/>
      <c r="I63" s="192"/>
      <c r="J63" s="137"/>
      <c r="K63" s="182"/>
      <c r="L63" s="3"/>
      <c r="M63" s="3"/>
      <c r="N63" s="3"/>
      <c r="O63" s="3"/>
      <c r="P63" s="3"/>
    </row>
    <row r="64" spans="1:16" x14ac:dyDescent="0.15">
      <c r="A64" s="3"/>
      <c r="B64" s="3"/>
      <c r="C64" s="177"/>
      <c r="D64" s="137"/>
      <c r="E64" s="328"/>
      <c r="F64" s="137"/>
      <c r="G64" s="192"/>
      <c r="H64" s="137"/>
      <c r="I64" s="192"/>
      <c r="J64" s="137"/>
      <c r="K64" s="182"/>
      <c r="L64" s="3"/>
      <c r="M64" s="3"/>
      <c r="N64" s="3"/>
      <c r="O64" s="3"/>
      <c r="P64" s="3"/>
    </row>
    <row r="65" spans="1:16" x14ac:dyDescent="0.15">
      <c r="A65" s="3"/>
      <c r="B65" s="3"/>
      <c r="C65" s="177"/>
      <c r="D65" s="137" t="s">
        <v>903</v>
      </c>
      <c r="E65" s="262">
        <v>2</v>
      </c>
      <c r="F65" s="137" t="s">
        <v>910</v>
      </c>
      <c r="G65" s="137"/>
      <c r="H65" s="137"/>
      <c r="I65" s="192">
        <f>E65*0.05</f>
        <v>0.1</v>
      </c>
      <c r="J65" s="137" t="s">
        <v>554</v>
      </c>
      <c r="K65" s="182"/>
      <c r="L65" s="3"/>
      <c r="M65" s="3"/>
      <c r="N65" s="3"/>
      <c r="O65" s="3"/>
      <c r="P65" s="3"/>
    </row>
    <row r="66" spans="1:16" x14ac:dyDescent="0.15">
      <c r="A66" s="3"/>
      <c r="B66" s="3"/>
      <c r="C66" s="177"/>
      <c r="D66" s="137" t="s">
        <v>902</v>
      </c>
      <c r="E66" s="137"/>
      <c r="F66" s="137"/>
      <c r="G66" s="137"/>
      <c r="H66" s="137"/>
      <c r="I66" s="347">
        <v>0.5</v>
      </c>
      <c r="J66" s="137" t="s">
        <v>554</v>
      </c>
      <c r="K66" s="182"/>
      <c r="L66" s="3"/>
      <c r="M66" s="3"/>
      <c r="N66" s="3"/>
      <c r="O66" s="3"/>
      <c r="P66" s="3"/>
    </row>
    <row r="67" spans="1:16" x14ac:dyDescent="0.15">
      <c r="A67" s="3"/>
      <c r="B67" s="3"/>
      <c r="C67" s="177"/>
      <c r="D67" s="137" t="s">
        <v>904</v>
      </c>
      <c r="E67" s="138" t="s">
        <v>929</v>
      </c>
      <c r="F67" s="697"/>
      <c r="G67" s="380"/>
      <c r="H67" s="137"/>
      <c r="I67" s="262">
        <v>0.23</v>
      </c>
      <c r="J67" s="137" t="s">
        <v>554</v>
      </c>
      <c r="K67" s="182"/>
      <c r="L67" s="3"/>
      <c r="M67" s="3"/>
      <c r="N67" s="3"/>
      <c r="O67" s="3"/>
      <c r="P67" s="3"/>
    </row>
    <row r="68" spans="1:16" x14ac:dyDescent="0.15">
      <c r="A68" s="3"/>
      <c r="B68" s="3"/>
      <c r="C68" s="177"/>
      <c r="D68" s="137"/>
      <c r="E68" s="138"/>
      <c r="F68" s="727"/>
      <c r="G68" s="137"/>
      <c r="H68" s="137"/>
      <c r="I68" s="327"/>
      <c r="J68" s="137"/>
      <c r="K68" s="182"/>
      <c r="L68" s="3"/>
      <c r="M68" s="3"/>
      <c r="N68" s="3"/>
      <c r="O68" s="3"/>
      <c r="P68" s="3"/>
    </row>
    <row r="69" spans="1:16" x14ac:dyDescent="0.15">
      <c r="A69" s="3"/>
      <c r="B69" s="3"/>
      <c r="C69" s="177"/>
      <c r="D69" s="137" t="s">
        <v>913</v>
      </c>
      <c r="E69" s="137"/>
      <c r="F69" s="137" t="s">
        <v>223</v>
      </c>
      <c r="G69" s="137"/>
      <c r="H69" s="137"/>
      <c r="I69" s="717">
        <v>0.1</v>
      </c>
      <c r="J69" s="137" t="s">
        <v>554</v>
      </c>
      <c r="K69" s="182"/>
      <c r="L69" s="3"/>
      <c r="M69" s="3"/>
      <c r="N69" s="3"/>
      <c r="O69" s="3"/>
      <c r="P69" s="3"/>
    </row>
    <row r="70" spans="1:16" x14ac:dyDescent="0.15">
      <c r="A70" s="3"/>
      <c r="B70" s="3"/>
      <c r="C70" s="177"/>
      <c r="D70" s="137"/>
      <c r="E70" s="137"/>
      <c r="F70" s="137"/>
      <c r="G70" s="137"/>
      <c r="H70" s="137"/>
      <c r="I70" s="327"/>
      <c r="J70" s="137"/>
      <c r="K70" s="182"/>
      <c r="L70" s="3"/>
      <c r="M70" s="3"/>
      <c r="N70" s="3"/>
      <c r="O70" s="3"/>
      <c r="P70" s="3"/>
    </row>
    <row r="71" spans="1:16" x14ac:dyDescent="0.15">
      <c r="A71" s="3"/>
      <c r="B71" s="3"/>
      <c r="C71" s="177" t="s">
        <v>911</v>
      </c>
      <c r="D71" s="137"/>
      <c r="E71" s="137"/>
      <c r="F71" s="137"/>
      <c r="G71" s="137"/>
      <c r="H71" s="137"/>
      <c r="I71" s="723">
        <f>I61+I65+I66+I67+I69</f>
        <v>0.996</v>
      </c>
      <c r="J71" s="137" t="s">
        <v>554</v>
      </c>
      <c r="K71" s="182"/>
      <c r="L71" s="3"/>
      <c r="M71" s="3"/>
      <c r="N71" s="3"/>
      <c r="O71" s="3"/>
      <c r="P71" s="3"/>
    </row>
    <row r="72" spans="1:16" x14ac:dyDescent="0.15">
      <c r="A72" s="3"/>
      <c r="B72" s="3"/>
      <c r="C72" s="177"/>
      <c r="D72" s="137"/>
      <c r="E72" s="137"/>
      <c r="F72" s="137"/>
      <c r="G72" s="137"/>
      <c r="H72" s="137"/>
      <c r="I72" s="344"/>
      <c r="J72" s="137"/>
      <c r="K72" s="182"/>
      <c r="L72" s="3"/>
      <c r="M72" s="3"/>
      <c r="N72" s="3"/>
      <c r="O72" s="3"/>
      <c r="P72" s="3"/>
    </row>
    <row r="73" spans="1:16" x14ac:dyDescent="0.15">
      <c r="A73" s="3"/>
      <c r="B73" s="3"/>
      <c r="C73" s="177" t="s">
        <v>928</v>
      </c>
      <c r="D73" s="137"/>
      <c r="E73" s="137"/>
      <c r="F73" s="137"/>
      <c r="G73" s="137"/>
      <c r="H73" s="137"/>
      <c r="I73" s="325">
        <f>G52-I71</f>
        <v>-0.996</v>
      </c>
      <c r="J73" s="137" t="s">
        <v>579</v>
      </c>
      <c r="K73" s="182"/>
      <c r="L73" s="3"/>
      <c r="M73" s="3"/>
      <c r="N73" s="3"/>
      <c r="O73" s="3"/>
      <c r="P73" s="3"/>
    </row>
    <row r="74" spans="1:16" x14ac:dyDescent="0.15">
      <c r="A74" s="3"/>
      <c r="B74" s="3"/>
      <c r="C74" s="233"/>
      <c r="D74" s="234"/>
      <c r="E74" s="234"/>
      <c r="F74" s="234"/>
      <c r="G74" s="234"/>
      <c r="H74" s="234"/>
      <c r="I74" s="234"/>
      <c r="J74" s="234"/>
      <c r="K74" s="235"/>
      <c r="L74" s="3"/>
      <c r="M74" s="3"/>
      <c r="N74" s="3"/>
      <c r="O74" s="3"/>
      <c r="P74" s="3"/>
    </row>
    <row r="75" spans="1:16" x14ac:dyDescent="0.15">
      <c r="A75" s="3"/>
      <c r="B75" s="3"/>
      <c r="C75" s="3"/>
      <c r="D75" s="3"/>
      <c r="E75" s="3"/>
      <c r="F75" s="3"/>
      <c r="G75" s="3"/>
      <c r="H75" s="3"/>
      <c r="I75" s="3"/>
      <c r="J75" s="3"/>
      <c r="K75" s="3"/>
      <c r="L75" s="3"/>
      <c r="M75" s="3"/>
      <c r="N75" s="3"/>
      <c r="O75" s="3"/>
      <c r="P75" s="3"/>
    </row>
    <row r="76" spans="1:16" x14ac:dyDescent="0.15">
      <c r="A76" s="3"/>
      <c r="B76" s="3"/>
      <c r="C76" s="3"/>
      <c r="D76" s="3"/>
      <c r="E76" s="3"/>
      <c r="F76" s="3"/>
      <c r="G76" s="3"/>
      <c r="H76" s="3"/>
      <c r="I76" s="3"/>
      <c r="J76" s="3"/>
      <c r="K76" s="3"/>
      <c r="L76" s="3"/>
      <c r="M76" s="3"/>
      <c r="N76" s="3"/>
      <c r="O76" s="3"/>
      <c r="P76" s="3"/>
    </row>
    <row r="77" spans="1:16" x14ac:dyDescent="0.15">
      <c r="A77" s="3"/>
      <c r="B77" s="3"/>
      <c r="C77" s="3"/>
      <c r="D77" s="3"/>
      <c r="E77" s="3"/>
      <c r="F77" s="3"/>
      <c r="G77" s="3"/>
      <c r="H77" s="3"/>
      <c r="I77" s="3"/>
      <c r="J77" s="3"/>
      <c r="K77" s="3"/>
      <c r="L77" s="3"/>
      <c r="M77" s="3"/>
      <c r="N77" s="3"/>
      <c r="O77" s="3"/>
      <c r="P77" s="3"/>
    </row>
    <row r="78" spans="1:16" x14ac:dyDescent="0.15">
      <c r="A78" s="3"/>
      <c r="B78" s="3"/>
      <c r="C78" s="3"/>
      <c r="D78" s="3"/>
      <c r="E78" s="3"/>
      <c r="F78" s="3"/>
      <c r="G78" s="3"/>
      <c r="H78" s="3"/>
      <c r="I78" s="3"/>
      <c r="J78" s="3"/>
      <c r="K78" s="3"/>
      <c r="L78" s="3"/>
      <c r="M78" s="3"/>
      <c r="N78" s="3"/>
      <c r="O78" s="3"/>
      <c r="P78" s="3"/>
    </row>
    <row r="79" spans="1:16" x14ac:dyDescent="0.15">
      <c r="A79" s="3"/>
      <c r="B79" s="3"/>
      <c r="C79" s="3"/>
      <c r="D79" s="3"/>
      <c r="E79" s="3"/>
      <c r="F79" s="3"/>
      <c r="G79" s="3"/>
      <c r="H79" s="3"/>
      <c r="I79" s="3"/>
      <c r="J79" s="3"/>
      <c r="K79" s="3"/>
      <c r="L79" s="3"/>
      <c r="M79" s="3"/>
      <c r="N79" s="3"/>
      <c r="O79" s="3"/>
      <c r="P79" s="3"/>
    </row>
    <row r="80" spans="1:16" x14ac:dyDescent="0.15">
      <c r="A80" s="3"/>
      <c r="B80" s="3"/>
      <c r="C80" s="3"/>
      <c r="D80" s="3"/>
      <c r="E80" s="3"/>
      <c r="F80" s="3"/>
      <c r="G80" s="3"/>
      <c r="H80" s="3"/>
      <c r="I80" s="3"/>
      <c r="J80" s="3"/>
      <c r="K80" s="3"/>
      <c r="L80" s="3"/>
      <c r="M80" s="3"/>
      <c r="N80" s="3"/>
      <c r="O80" s="3"/>
      <c r="P80" s="3"/>
    </row>
    <row r="81" spans="1:16" x14ac:dyDescent="0.15">
      <c r="A81" s="3"/>
      <c r="B81" s="3"/>
      <c r="C81" s="3"/>
      <c r="D81" s="3"/>
      <c r="E81" s="3"/>
      <c r="F81" s="3"/>
      <c r="G81" s="3"/>
      <c r="H81" s="3"/>
      <c r="I81" s="3"/>
      <c r="J81" s="3"/>
      <c r="K81" s="3"/>
      <c r="L81" s="3"/>
      <c r="M81" s="3"/>
      <c r="N81" s="3"/>
      <c r="O81" s="3"/>
      <c r="P81" s="3"/>
    </row>
    <row r="82" spans="1:16" x14ac:dyDescent="0.15">
      <c r="A82" s="3"/>
      <c r="B82" s="3"/>
      <c r="C82" s="3"/>
      <c r="D82" s="3"/>
      <c r="E82" s="3"/>
      <c r="F82" s="3"/>
      <c r="G82" s="3"/>
      <c r="H82" s="3"/>
      <c r="I82" s="3"/>
      <c r="J82" s="3"/>
      <c r="K82" s="3"/>
      <c r="L82" s="3"/>
      <c r="M82" s="3"/>
      <c r="N82" s="3"/>
      <c r="O82" s="3"/>
      <c r="P82" s="3"/>
    </row>
    <row r="83" spans="1:16" x14ac:dyDescent="0.15">
      <c r="A83" s="3"/>
      <c r="B83" s="3"/>
      <c r="C83" s="3"/>
      <c r="D83" s="3"/>
      <c r="E83" s="3"/>
      <c r="F83" s="3"/>
      <c r="G83" s="3"/>
      <c r="H83" s="3"/>
      <c r="I83" s="3"/>
      <c r="J83" s="3"/>
      <c r="K83" s="3"/>
      <c r="L83" s="3"/>
      <c r="M83" s="3"/>
      <c r="N83" s="3"/>
      <c r="O83" s="3"/>
      <c r="P83" s="3"/>
    </row>
    <row r="84" spans="1:16" x14ac:dyDescent="0.15">
      <c r="A84" s="3"/>
      <c r="B84" s="3"/>
      <c r="C84" s="3"/>
      <c r="D84" s="3"/>
      <c r="E84" s="3"/>
      <c r="F84" s="3"/>
      <c r="G84" s="3"/>
      <c r="H84" s="3"/>
      <c r="I84" s="3"/>
      <c r="J84" s="3"/>
      <c r="K84" s="3"/>
      <c r="L84" s="3"/>
      <c r="M84" s="3"/>
      <c r="N84" s="3"/>
      <c r="O84" s="3"/>
      <c r="P84" s="3"/>
    </row>
    <row r="85" spans="1:16" x14ac:dyDescent="0.15">
      <c r="A85" s="3"/>
      <c r="B85" s="3"/>
      <c r="C85" s="3"/>
      <c r="D85" s="3"/>
      <c r="E85" s="3"/>
      <c r="F85" s="3"/>
      <c r="G85" s="3"/>
      <c r="H85" s="3"/>
      <c r="I85" s="3"/>
      <c r="J85" s="3"/>
      <c r="K85" s="3"/>
      <c r="L85" s="3"/>
      <c r="M85" s="3"/>
      <c r="N85" s="3"/>
      <c r="O85" s="3"/>
      <c r="P85" s="3"/>
    </row>
    <row r="86" spans="1:16" x14ac:dyDescent="0.15">
      <c r="A86" s="3"/>
      <c r="B86" s="3"/>
      <c r="C86" s="3"/>
      <c r="D86" s="3"/>
      <c r="E86" s="3"/>
      <c r="F86" s="3"/>
      <c r="G86" s="3"/>
      <c r="H86" s="3"/>
      <c r="I86" s="3"/>
      <c r="J86" s="3"/>
      <c r="K86" s="3"/>
      <c r="L86" s="3"/>
      <c r="M86" s="3"/>
      <c r="N86" s="3"/>
      <c r="O86" s="3"/>
      <c r="P86" s="3"/>
    </row>
    <row r="87" spans="1:16" x14ac:dyDescent="0.15">
      <c r="A87" s="3"/>
      <c r="B87" s="3"/>
      <c r="C87" s="3"/>
      <c r="D87" s="3"/>
      <c r="E87" s="3"/>
      <c r="F87" s="3"/>
      <c r="G87" s="3"/>
      <c r="H87" s="3"/>
      <c r="I87" s="3"/>
      <c r="J87" s="3"/>
      <c r="K87" s="3"/>
      <c r="L87" s="3"/>
      <c r="M87" s="3"/>
      <c r="N87" s="3"/>
      <c r="O87" s="3"/>
      <c r="P87" s="3"/>
    </row>
    <row r="88" spans="1:16" x14ac:dyDescent="0.15">
      <c r="A88" s="3"/>
      <c r="B88" s="3"/>
      <c r="C88" s="3"/>
      <c r="D88" s="3"/>
      <c r="E88" s="3"/>
      <c r="F88" s="3"/>
      <c r="G88" s="3"/>
      <c r="H88" s="3"/>
      <c r="I88" s="3"/>
      <c r="J88" s="3"/>
      <c r="K88" s="3"/>
      <c r="L88" s="3"/>
      <c r="M88" s="3"/>
      <c r="N88" s="3"/>
      <c r="O88" s="3"/>
      <c r="P88" s="3"/>
    </row>
    <row r="89" spans="1:16" x14ac:dyDescent="0.15">
      <c r="A89" s="3"/>
      <c r="B89" s="3"/>
      <c r="C89" s="3"/>
      <c r="D89" s="3"/>
      <c r="E89" s="3"/>
      <c r="F89" s="3"/>
      <c r="G89" s="3"/>
      <c r="H89" s="3"/>
      <c r="I89" s="3"/>
      <c r="J89" s="3"/>
      <c r="K89" s="3"/>
      <c r="L89" s="3"/>
      <c r="M89" s="3"/>
      <c r="N89" s="3"/>
      <c r="O89" s="3"/>
      <c r="P89" s="3"/>
    </row>
    <row r="90" spans="1:16" x14ac:dyDescent="0.15">
      <c r="A90" s="3"/>
      <c r="B90" s="3"/>
      <c r="C90" s="3"/>
      <c r="D90" s="3"/>
      <c r="E90" s="3"/>
      <c r="F90" s="3"/>
      <c r="G90" s="3"/>
      <c r="H90" s="3"/>
      <c r="I90" s="3"/>
      <c r="J90" s="3"/>
      <c r="K90" s="3"/>
      <c r="L90" s="3"/>
      <c r="M90" s="3"/>
      <c r="N90" s="3"/>
      <c r="O90" s="3"/>
      <c r="P90" s="3"/>
    </row>
    <row r="91" spans="1:16" x14ac:dyDescent="0.15">
      <c r="A91" s="3"/>
      <c r="B91" s="3"/>
      <c r="C91" s="3"/>
      <c r="D91" s="3"/>
      <c r="E91" s="3"/>
      <c r="F91" s="3"/>
      <c r="G91" s="3"/>
      <c r="H91" s="3"/>
      <c r="I91" s="3"/>
      <c r="J91" s="3"/>
      <c r="K91" s="3"/>
      <c r="L91" s="3"/>
      <c r="M91" s="3"/>
      <c r="N91" s="3"/>
      <c r="O91" s="3"/>
      <c r="P91" s="3"/>
    </row>
    <row r="92" spans="1:16" x14ac:dyDescent="0.15">
      <c r="A92" s="3"/>
      <c r="B92" s="3"/>
      <c r="C92" s="3"/>
      <c r="D92" s="3"/>
      <c r="E92" s="3"/>
      <c r="F92" s="3"/>
      <c r="G92" s="3"/>
      <c r="H92" s="3"/>
      <c r="I92" s="3"/>
      <c r="J92" s="3"/>
      <c r="K92" s="3"/>
      <c r="L92" s="3"/>
      <c r="M92" s="3"/>
      <c r="N92" s="3"/>
      <c r="O92" s="3"/>
      <c r="P92" s="3"/>
    </row>
    <row r="93" spans="1:16" x14ac:dyDescent="0.15">
      <c r="A93" s="3"/>
      <c r="B93" s="3"/>
      <c r="C93" s="3"/>
      <c r="D93" s="3"/>
      <c r="E93" s="3"/>
      <c r="F93" s="3"/>
      <c r="G93" s="3"/>
      <c r="H93" s="3"/>
      <c r="I93" s="3"/>
      <c r="J93" s="3"/>
      <c r="K93" s="3"/>
      <c r="L93" s="3"/>
      <c r="M93" s="3"/>
      <c r="N93" s="3"/>
      <c r="O93" s="3"/>
      <c r="P93" s="3"/>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3"/>
  </sheetPr>
  <dimension ref="A1:AA171"/>
  <sheetViews>
    <sheetView topLeftCell="A114" zoomScale="125" workbookViewId="0">
      <selection activeCell="F135" sqref="F135"/>
    </sheetView>
  </sheetViews>
  <sheetFormatPr baseColWidth="10" defaultColWidth="10.6640625" defaultRowHeight="13" x14ac:dyDescent="0.15"/>
  <cols>
    <col min="1" max="8" width="8.83203125" customWidth="1"/>
    <col min="9" max="9" width="14.1640625" customWidth="1"/>
    <col min="10" max="10" width="10" customWidth="1"/>
    <col min="11" max="20" width="8.83203125" customWidth="1"/>
    <col min="21" max="21" width="9.5" bestFit="1" customWidth="1"/>
    <col min="22" max="256" width="8.83203125" customWidth="1"/>
  </cols>
  <sheetData>
    <row r="1" spans="1:27" ht="19" thickBot="1" x14ac:dyDescent="0.25">
      <c r="A1" s="119" t="s">
        <v>930</v>
      </c>
      <c r="B1" s="121"/>
      <c r="C1" s="121"/>
      <c r="D1" s="121"/>
      <c r="E1" s="121"/>
      <c r="F1" s="121"/>
      <c r="G1" s="121"/>
      <c r="H1" s="675" t="str">
        <f>'Title Page'!F3</f>
        <v>3UCubed</v>
      </c>
      <c r="I1" s="121"/>
      <c r="J1" s="121"/>
      <c r="K1" s="905">
        <f ca="1">'Title Page'!F23</f>
        <v>45769</v>
      </c>
      <c r="L1" s="121"/>
      <c r="M1" s="121"/>
      <c r="N1" s="121"/>
      <c r="O1" s="121"/>
      <c r="P1" s="121"/>
      <c r="Q1" s="121"/>
      <c r="R1" s="121"/>
      <c r="S1" s="121"/>
      <c r="T1" s="121"/>
      <c r="U1" s="121"/>
      <c r="V1" s="121"/>
      <c r="W1" s="121"/>
      <c r="X1" s="121"/>
      <c r="Y1" s="121"/>
      <c r="Z1" s="121"/>
      <c r="AA1" s="121"/>
    </row>
    <row r="2" spans="1:27" x14ac:dyDescent="0.15">
      <c r="A2" s="3"/>
      <c r="B2" s="3"/>
      <c r="C2" s="3"/>
      <c r="D2" s="3"/>
      <c r="E2" s="3"/>
      <c r="F2" s="3"/>
      <c r="G2" s="3"/>
      <c r="H2" s="3"/>
      <c r="I2" s="3"/>
      <c r="J2" s="3"/>
      <c r="K2" s="3"/>
      <c r="L2" s="3"/>
      <c r="M2" s="3"/>
      <c r="N2" s="3"/>
      <c r="O2" s="3"/>
      <c r="P2" s="3"/>
      <c r="Q2" s="3"/>
      <c r="R2" s="3"/>
      <c r="S2" s="3"/>
      <c r="T2" s="3"/>
      <c r="U2" s="3"/>
      <c r="V2" s="3"/>
      <c r="W2" s="3"/>
      <c r="X2" s="3"/>
      <c r="Y2" s="3"/>
      <c r="Z2" s="3"/>
      <c r="AA2" s="3"/>
    </row>
    <row r="3" spans="1:27" x14ac:dyDescent="0.15">
      <c r="A3" s="3"/>
      <c r="B3" s="3"/>
      <c r="C3" s="3"/>
      <c r="D3" s="3"/>
      <c r="E3" s="3"/>
      <c r="F3" s="3"/>
      <c r="G3" s="3"/>
      <c r="H3" s="3"/>
      <c r="I3" s="3"/>
      <c r="J3" s="3"/>
      <c r="K3" s="3"/>
      <c r="L3" s="3"/>
      <c r="M3" s="3"/>
      <c r="N3" s="3"/>
      <c r="O3" s="3"/>
      <c r="P3" s="3"/>
      <c r="Q3" s="3"/>
      <c r="R3" s="3"/>
      <c r="S3" s="3"/>
      <c r="T3" s="3"/>
      <c r="U3" s="3"/>
      <c r="V3" s="3"/>
      <c r="W3" s="3"/>
      <c r="X3" s="3"/>
      <c r="Y3" s="3"/>
      <c r="Z3" s="3"/>
      <c r="AA3" s="3"/>
    </row>
    <row r="4" spans="1:27" ht="16" x14ac:dyDescent="0.2">
      <c r="A4" s="3"/>
      <c r="B4" s="270" t="s">
        <v>931</v>
      </c>
      <c r="C4" s="189"/>
      <c r="D4" s="189"/>
      <c r="E4" s="189"/>
      <c r="F4" s="190"/>
      <c r="G4" s="3"/>
      <c r="H4" s="3"/>
      <c r="I4" s="3"/>
      <c r="J4" s="527"/>
      <c r="K4" s="3"/>
      <c r="L4" s="3"/>
      <c r="M4" s="3"/>
      <c r="N4" s="3"/>
      <c r="O4" s="3"/>
      <c r="P4" s="3"/>
      <c r="Q4" s="3"/>
      <c r="R4" s="3"/>
      <c r="S4" s="3"/>
      <c r="T4" s="3"/>
      <c r="U4" s="3"/>
      <c r="V4" s="3"/>
      <c r="W4" s="3"/>
      <c r="X4" s="3"/>
      <c r="Y4" s="3"/>
      <c r="Z4" s="3"/>
      <c r="AA4" s="3"/>
    </row>
    <row r="5" spans="1:27" x14ac:dyDescent="0.15">
      <c r="A5" s="3"/>
      <c r="B5" s="3"/>
      <c r="C5" s="3"/>
      <c r="D5" s="3"/>
      <c r="E5" s="3"/>
      <c r="F5" s="3"/>
      <c r="G5" s="3"/>
      <c r="H5" s="3"/>
      <c r="I5" s="3"/>
      <c r="J5" s="3"/>
      <c r="K5" s="3"/>
      <c r="L5" s="3"/>
      <c r="M5" s="3"/>
      <c r="N5" s="3"/>
      <c r="O5" s="3"/>
      <c r="P5" s="3"/>
      <c r="Q5" s="3"/>
      <c r="R5" s="3"/>
      <c r="S5" s="3"/>
      <c r="T5" s="3"/>
      <c r="U5" s="3"/>
      <c r="V5" s="3"/>
      <c r="W5" s="3"/>
      <c r="X5" s="3"/>
      <c r="Y5" s="3"/>
      <c r="Z5" s="3"/>
      <c r="AA5" s="3"/>
    </row>
    <row r="6" spans="1:27" x14ac:dyDescent="0.15">
      <c r="A6" s="3"/>
      <c r="B6" s="3"/>
      <c r="C6" s="351" t="s">
        <v>1026</v>
      </c>
      <c r="D6" s="3"/>
      <c r="E6" s="3"/>
      <c r="F6" s="3"/>
      <c r="G6" s="3"/>
      <c r="H6" s="3"/>
      <c r="I6" s="3"/>
      <c r="J6" s="3"/>
      <c r="K6" s="3"/>
      <c r="L6" s="3"/>
      <c r="M6" s="3"/>
      <c r="N6" s="3"/>
      <c r="O6" s="3"/>
      <c r="P6" s="3"/>
      <c r="Q6" s="3"/>
      <c r="R6" s="3"/>
      <c r="S6" s="3"/>
      <c r="T6" s="3"/>
      <c r="U6" s="3"/>
      <c r="V6" s="3"/>
      <c r="W6" s="3"/>
      <c r="X6" s="3"/>
      <c r="Y6" s="3"/>
      <c r="Z6" s="3"/>
      <c r="AA6" s="3"/>
    </row>
    <row r="7" spans="1:27" x14ac:dyDescent="0.15">
      <c r="A7" s="3"/>
      <c r="B7" s="3"/>
      <c r="C7" s="3"/>
      <c r="D7" s="3"/>
      <c r="E7" s="3"/>
      <c r="F7" s="3"/>
      <c r="G7" s="3"/>
      <c r="H7" s="3"/>
      <c r="I7" s="3"/>
      <c r="J7" s="3"/>
      <c r="K7" s="3"/>
      <c r="L7" s="3"/>
      <c r="M7" s="3"/>
      <c r="N7" s="3"/>
      <c r="O7" s="3"/>
      <c r="P7" s="3"/>
      <c r="Q7" s="3"/>
      <c r="R7" s="3"/>
      <c r="S7" s="3"/>
      <c r="T7" s="3"/>
      <c r="U7" s="3"/>
      <c r="V7" s="3"/>
      <c r="W7" s="3"/>
      <c r="X7" s="3"/>
      <c r="Y7" s="3"/>
      <c r="Z7" s="3"/>
      <c r="AA7" s="3"/>
    </row>
    <row r="8" spans="1:27" x14ac:dyDescent="0.15">
      <c r="A8" s="3"/>
      <c r="B8" s="3"/>
      <c r="C8" s="360" t="s">
        <v>887</v>
      </c>
      <c r="D8" s="331"/>
      <c r="E8" s="331"/>
      <c r="F8" s="331"/>
      <c r="G8" s="331"/>
      <c r="H8" s="331"/>
      <c r="I8" s="331"/>
      <c r="J8" s="331"/>
      <c r="K8" s="331"/>
      <c r="L8" s="331"/>
      <c r="M8" s="332"/>
      <c r="N8" s="3"/>
      <c r="O8" s="3"/>
      <c r="P8" s="3"/>
      <c r="Q8" s="3"/>
      <c r="R8" s="3"/>
      <c r="S8" s="3"/>
      <c r="T8" s="3"/>
      <c r="U8" s="3"/>
      <c r="V8" s="3"/>
      <c r="W8" s="3"/>
      <c r="X8" s="3"/>
      <c r="Y8" s="3"/>
      <c r="Z8" s="3"/>
      <c r="AA8" s="3"/>
    </row>
    <row r="9" spans="1:27" x14ac:dyDescent="0.15">
      <c r="A9" s="3"/>
      <c r="B9" s="3"/>
      <c r="C9" s="333"/>
      <c r="D9" s="334"/>
      <c r="E9" s="334"/>
      <c r="F9" s="334"/>
      <c r="G9" s="334"/>
      <c r="H9" s="334"/>
      <c r="I9" s="334"/>
      <c r="J9" s="334"/>
      <c r="K9" s="334"/>
      <c r="L9" s="334"/>
      <c r="M9" s="321"/>
      <c r="N9" s="3"/>
      <c r="O9" s="3"/>
      <c r="P9" s="3"/>
      <c r="Q9" s="3"/>
      <c r="R9" s="3"/>
      <c r="S9" s="3"/>
      <c r="T9" s="3"/>
      <c r="U9" s="3"/>
      <c r="V9" s="3"/>
      <c r="W9" s="3"/>
      <c r="X9" s="3"/>
      <c r="Y9" s="3"/>
      <c r="Z9" s="3"/>
      <c r="AA9" s="3"/>
    </row>
    <row r="10" spans="1:27" x14ac:dyDescent="0.15">
      <c r="A10" s="3"/>
      <c r="B10" s="3"/>
      <c r="C10" s="333"/>
      <c r="D10" s="334"/>
      <c r="E10" s="334"/>
      <c r="F10" s="334"/>
      <c r="G10" s="334"/>
      <c r="H10" s="334"/>
      <c r="I10" s="334" t="s">
        <v>949</v>
      </c>
      <c r="J10" s="334"/>
      <c r="K10" s="334" t="s">
        <v>961</v>
      </c>
      <c r="L10" s="334"/>
      <c r="M10" s="321"/>
      <c r="N10" s="3"/>
      <c r="O10" s="3"/>
      <c r="P10" s="3"/>
      <c r="Q10" s="3"/>
      <c r="R10" s="3"/>
      <c r="S10" s="3"/>
      <c r="T10" s="3"/>
      <c r="U10" s="3"/>
      <c r="V10" s="3"/>
      <c r="W10" s="3"/>
      <c r="X10" s="3"/>
      <c r="Y10" s="3"/>
      <c r="Z10" s="3"/>
      <c r="AA10" s="3"/>
    </row>
    <row r="11" spans="1:27" x14ac:dyDescent="0.15">
      <c r="A11" s="3"/>
      <c r="B11" s="3"/>
      <c r="C11" s="333"/>
      <c r="D11" s="334"/>
      <c r="E11" s="334"/>
      <c r="F11" s="334"/>
      <c r="G11" s="334"/>
      <c r="H11" s="334"/>
      <c r="I11" s="334"/>
      <c r="J11" s="334"/>
      <c r="K11" s="334"/>
      <c r="L11" s="334"/>
      <c r="M11" s="321"/>
      <c r="N11" s="3"/>
      <c r="O11" s="3"/>
      <c r="P11" s="3"/>
      <c r="Q11" s="3"/>
      <c r="R11" s="3"/>
      <c r="S11" s="3"/>
      <c r="T11" s="3"/>
      <c r="U11" s="3"/>
      <c r="V11" s="3"/>
      <c r="W11" s="3"/>
      <c r="X11" s="3"/>
      <c r="Y11" s="3"/>
      <c r="Z11" s="3"/>
      <c r="AA11" s="3"/>
    </row>
    <row r="12" spans="1:27" x14ac:dyDescent="0.15">
      <c r="A12" s="3"/>
      <c r="B12" s="3"/>
      <c r="C12" s="333"/>
      <c r="D12" s="334"/>
      <c r="E12" s="334"/>
      <c r="F12" s="334"/>
      <c r="G12" s="334"/>
      <c r="H12" s="334"/>
      <c r="I12" s="334"/>
      <c r="J12" s="334"/>
      <c r="K12" s="334"/>
      <c r="L12" s="334"/>
      <c r="M12" s="321"/>
      <c r="N12" s="3"/>
      <c r="O12" s="3"/>
      <c r="P12" s="3"/>
      <c r="Q12" s="3"/>
      <c r="R12" s="3"/>
      <c r="S12" s="3"/>
      <c r="T12" s="3"/>
      <c r="U12" s="3"/>
      <c r="V12" s="3"/>
      <c r="W12" s="3"/>
      <c r="X12" s="3"/>
      <c r="Y12" s="3"/>
      <c r="Z12" s="3"/>
      <c r="AA12" s="3"/>
    </row>
    <row r="13" spans="1:27" x14ac:dyDescent="0.15">
      <c r="A13" s="3"/>
      <c r="B13" s="3"/>
      <c r="C13" s="333"/>
      <c r="D13" s="334"/>
      <c r="E13" s="334"/>
      <c r="F13" s="334"/>
      <c r="G13" s="334"/>
      <c r="H13" s="334"/>
      <c r="I13" s="334"/>
      <c r="J13" s="334"/>
      <c r="K13" s="334"/>
      <c r="L13" s="334"/>
      <c r="M13" s="321"/>
      <c r="N13" s="3"/>
      <c r="O13" s="3"/>
      <c r="P13" s="3"/>
      <c r="Q13" s="3"/>
      <c r="R13" s="3"/>
      <c r="S13" s="3"/>
      <c r="T13" s="3"/>
      <c r="U13" s="3"/>
      <c r="V13" s="3"/>
      <c r="W13" s="3"/>
      <c r="X13" s="3"/>
      <c r="Y13" s="3"/>
      <c r="Z13" s="3"/>
      <c r="AA13" s="3"/>
    </row>
    <row r="14" spans="1:27" x14ac:dyDescent="0.15">
      <c r="A14" s="3"/>
      <c r="B14" s="3"/>
      <c r="C14" s="333"/>
      <c r="D14" s="336" t="s">
        <v>940</v>
      </c>
      <c r="E14" s="334"/>
      <c r="F14" s="336" t="s">
        <v>941</v>
      </c>
      <c r="G14" s="334"/>
      <c r="H14" s="336" t="s">
        <v>942</v>
      </c>
      <c r="I14" s="334"/>
      <c r="J14" s="334"/>
      <c r="K14" s="334"/>
      <c r="L14" s="334"/>
      <c r="M14" s="321"/>
      <c r="N14" s="3"/>
      <c r="O14" s="3"/>
      <c r="P14" s="3"/>
      <c r="Q14" s="3"/>
      <c r="R14" s="3"/>
      <c r="S14" s="3"/>
      <c r="T14" s="3"/>
      <c r="U14" s="3"/>
      <c r="V14" s="3"/>
      <c r="W14" s="3"/>
      <c r="X14" s="3"/>
      <c r="Y14" s="3"/>
      <c r="Z14" s="3"/>
      <c r="AA14" s="3"/>
    </row>
    <row r="15" spans="1:27" x14ac:dyDescent="0.15">
      <c r="A15" s="3"/>
      <c r="B15" s="3"/>
      <c r="C15" s="333"/>
      <c r="D15" s="334"/>
      <c r="E15" s="334"/>
      <c r="F15" s="334"/>
      <c r="G15" s="334"/>
      <c r="H15" s="334"/>
      <c r="I15" s="334"/>
      <c r="J15" s="334"/>
      <c r="K15" s="334"/>
      <c r="L15" s="334"/>
      <c r="M15" s="321"/>
      <c r="N15" s="3"/>
      <c r="O15" s="3"/>
      <c r="P15" s="3"/>
      <c r="Q15" s="3"/>
      <c r="R15" s="3"/>
      <c r="S15" s="3"/>
      <c r="T15" s="3"/>
      <c r="U15" s="3"/>
      <c r="V15" s="3"/>
      <c r="W15" s="3"/>
      <c r="X15" s="3"/>
      <c r="Y15" s="3"/>
      <c r="Z15" s="3"/>
      <c r="AA15" s="3"/>
    </row>
    <row r="16" spans="1:27" x14ac:dyDescent="0.15">
      <c r="A16" s="3"/>
      <c r="B16" s="3"/>
      <c r="C16" s="333"/>
      <c r="D16" s="336" t="s">
        <v>943</v>
      </c>
      <c r="E16" s="334"/>
      <c r="F16" s="336" t="s">
        <v>944</v>
      </c>
      <c r="G16" s="334"/>
      <c r="H16" s="334"/>
      <c r="I16" s="334"/>
      <c r="J16" s="334"/>
      <c r="K16" s="334"/>
      <c r="L16" s="334"/>
      <c r="M16" s="321"/>
      <c r="N16" s="3"/>
      <c r="O16" s="3"/>
      <c r="P16" s="3"/>
      <c r="Q16" s="3"/>
      <c r="R16" s="3"/>
      <c r="S16" s="3"/>
      <c r="T16" s="3"/>
      <c r="U16" s="3"/>
      <c r="V16" s="3"/>
      <c r="W16" s="3"/>
      <c r="X16" s="3"/>
      <c r="Y16" s="3"/>
      <c r="Z16" s="3"/>
      <c r="AA16" s="3"/>
    </row>
    <row r="17" spans="1:27" x14ac:dyDescent="0.15">
      <c r="A17" s="3"/>
      <c r="B17" s="3"/>
      <c r="C17" s="333"/>
      <c r="D17" s="334"/>
      <c r="E17" s="334"/>
      <c r="F17" s="334"/>
      <c r="G17" s="334"/>
      <c r="H17" s="334"/>
      <c r="I17" s="334"/>
      <c r="J17" s="334" t="s">
        <v>943</v>
      </c>
      <c r="K17" s="337" t="s">
        <v>943</v>
      </c>
      <c r="L17" s="334"/>
      <c r="M17" s="321"/>
      <c r="N17" s="3"/>
      <c r="O17" s="3"/>
      <c r="P17" s="3"/>
      <c r="Q17" s="3"/>
      <c r="R17" s="3"/>
      <c r="S17" s="3"/>
      <c r="T17" s="3"/>
      <c r="U17" s="3"/>
      <c r="V17" s="3"/>
      <c r="W17" s="3"/>
      <c r="X17" s="3"/>
      <c r="Y17" s="3"/>
      <c r="Z17" s="3"/>
      <c r="AA17" s="3"/>
    </row>
    <row r="18" spans="1:27" x14ac:dyDescent="0.15">
      <c r="A18" s="3"/>
      <c r="B18" s="3"/>
      <c r="C18" s="333"/>
      <c r="D18" s="334"/>
      <c r="E18" s="334"/>
      <c r="F18" s="334"/>
      <c r="G18" s="334"/>
      <c r="H18" s="334"/>
      <c r="I18" s="334"/>
      <c r="J18" s="334"/>
      <c r="K18" s="334"/>
      <c r="L18" s="334"/>
      <c r="M18" s="321"/>
      <c r="N18" s="3"/>
      <c r="O18" s="3"/>
      <c r="P18" s="3"/>
      <c r="Q18" s="3"/>
      <c r="R18" s="3"/>
      <c r="S18" s="3"/>
      <c r="T18" s="3"/>
      <c r="U18" s="3"/>
      <c r="V18" s="3"/>
      <c r="W18" s="3"/>
      <c r="X18" s="3"/>
      <c r="Y18" s="3"/>
      <c r="Z18" s="3"/>
      <c r="AA18" s="3"/>
    </row>
    <row r="19" spans="1:27" x14ac:dyDescent="0.15">
      <c r="A19" s="3"/>
      <c r="B19" s="3"/>
      <c r="C19" s="333"/>
      <c r="D19" s="334"/>
      <c r="E19" s="334"/>
      <c r="F19" s="334"/>
      <c r="G19" s="334"/>
      <c r="H19" s="334"/>
      <c r="I19" s="334"/>
      <c r="J19" s="334"/>
      <c r="K19" s="334"/>
      <c r="L19" s="334"/>
      <c r="M19" s="321"/>
      <c r="N19" s="3"/>
      <c r="O19" s="3"/>
      <c r="P19" s="3"/>
      <c r="Q19" s="3"/>
      <c r="R19" s="3"/>
      <c r="S19" s="3"/>
      <c r="T19" s="3"/>
      <c r="U19" s="3"/>
      <c r="V19" s="3"/>
      <c r="W19" s="3"/>
      <c r="X19" s="3"/>
      <c r="Y19" s="3"/>
      <c r="Z19" s="3"/>
      <c r="AA19" s="3"/>
    </row>
    <row r="20" spans="1:27" x14ac:dyDescent="0.15">
      <c r="A20" s="3"/>
      <c r="B20" s="3"/>
      <c r="C20" s="333"/>
      <c r="D20" s="334" t="s">
        <v>938</v>
      </c>
      <c r="E20" s="334"/>
      <c r="F20" s="334"/>
      <c r="G20" s="334"/>
      <c r="H20" s="334"/>
      <c r="I20" s="334"/>
      <c r="J20" s="334"/>
      <c r="K20" s="334"/>
      <c r="L20" s="334"/>
      <c r="M20" s="321"/>
      <c r="N20" s="3"/>
      <c r="O20" s="3"/>
      <c r="P20" s="3"/>
      <c r="Q20" s="3"/>
      <c r="R20" s="3"/>
      <c r="S20" s="3"/>
      <c r="T20" s="3"/>
      <c r="U20" s="3"/>
      <c r="V20" s="3"/>
      <c r="W20" s="3"/>
      <c r="X20" s="3"/>
      <c r="Y20" s="3"/>
      <c r="Z20" s="3"/>
      <c r="AA20" s="3"/>
    </row>
    <row r="21" spans="1:27" x14ac:dyDescent="0.15">
      <c r="A21" s="3"/>
      <c r="B21" s="3"/>
      <c r="C21" s="333"/>
      <c r="D21" s="334"/>
      <c r="E21" s="334"/>
      <c r="F21" s="334"/>
      <c r="G21" s="334"/>
      <c r="H21" s="334"/>
      <c r="I21" s="334"/>
      <c r="J21" s="334"/>
      <c r="K21" s="334"/>
      <c r="L21" s="334"/>
      <c r="M21" s="321"/>
      <c r="N21" s="3"/>
      <c r="O21" s="3"/>
      <c r="P21" s="3"/>
      <c r="Q21" s="3"/>
      <c r="R21" s="3"/>
      <c r="S21" s="3"/>
      <c r="T21" s="3"/>
      <c r="U21" s="3"/>
      <c r="V21" s="3"/>
      <c r="W21" s="3"/>
      <c r="X21" s="3"/>
      <c r="Y21" s="3"/>
      <c r="Z21" s="3"/>
      <c r="AA21" s="3"/>
    </row>
    <row r="22" spans="1:27" x14ac:dyDescent="0.15">
      <c r="A22" s="3"/>
      <c r="B22" s="3"/>
      <c r="C22" s="333"/>
      <c r="D22" s="354" t="s">
        <v>950</v>
      </c>
      <c r="E22" s="334"/>
      <c r="F22" s="334"/>
      <c r="G22" s="334"/>
      <c r="H22" s="334"/>
      <c r="I22" s="334"/>
      <c r="J22" s="334"/>
      <c r="K22" s="334"/>
      <c r="L22" s="334"/>
      <c r="M22" s="321"/>
      <c r="N22" s="3"/>
      <c r="O22" s="3"/>
      <c r="P22" s="3"/>
      <c r="Q22" s="3"/>
      <c r="R22" s="3"/>
      <c r="S22" s="3"/>
      <c r="T22" s="3"/>
      <c r="U22" s="3"/>
      <c r="V22" s="3"/>
      <c r="W22" s="3"/>
      <c r="X22" s="3"/>
      <c r="Y22" s="3"/>
      <c r="Z22" s="3"/>
      <c r="AA22" s="3"/>
    </row>
    <row r="23" spans="1:27" x14ac:dyDescent="0.15">
      <c r="A23" s="3"/>
      <c r="B23" s="3"/>
      <c r="C23" s="333"/>
      <c r="D23" s="334" t="s">
        <v>939</v>
      </c>
      <c r="E23" s="334"/>
      <c r="F23" s="334"/>
      <c r="G23" s="355"/>
      <c r="H23" s="334"/>
      <c r="I23" s="334"/>
      <c r="J23" s="334"/>
      <c r="K23" s="334"/>
      <c r="L23" s="334"/>
      <c r="M23" s="321"/>
      <c r="N23" s="3"/>
      <c r="O23" s="3"/>
      <c r="P23" s="3"/>
      <c r="Q23" s="3"/>
      <c r="R23" s="3"/>
      <c r="S23" s="3"/>
      <c r="T23" s="3"/>
      <c r="U23" s="3"/>
      <c r="V23" s="3"/>
      <c r="W23" s="3"/>
      <c r="X23" s="3"/>
      <c r="Y23" s="3"/>
      <c r="Z23" s="3"/>
      <c r="AA23" s="3"/>
    </row>
    <row r="24" spans="1:27" x14ac:dyDescent="0.15">
      <c r="A24" s="3"/>
      <c r="B24" s="3"/>
      <c r="C24" s="333"/>
      <c r="D24" s="356" t="s">
        <v>945</v>
      </c>
      <c r="E24" s="334"/>
      <c r="F24" s="334"/>
      <c r="G24" s="334"/>
      <c r="H24" s="334"/>
      <c r="I24" s="334"/>
      <c r="J24" s="334"/>
      <c r="K24" s="334"/>
      <c r="L24" s="334"/>
      <c r="M24" s="321"/>
      <c r="N24" s="3"/>
      <c r="O24" s="3"/>
      <c r="P24" s="3"/>
      <c r="Q24" s="3"/>
      <c r="R24" s="3"/>
      <c r="S24" s="3"/>
      <c r="T24" s="3"/>
      <c r="U24" s="3"/>
      <c r="V24" s="3"/>
      <c r="W24" s="3"/>
      <c r="X24" s="3"/>
      <c r="Y24" s="3"/>
      <c r="Z24" s="3"/>
      <c r="AA24" s="3"/>
    </row>
    <row r="25" spans="1:27" x14ac:dyDescent="0.15">
      <c r="A25" s="3"/>
      <c r="B25" s="3"/>
      <c r="C25" s="333"/>
      <c r="D25" s="356" t="s">
        <v>1005</v>
      </c>
      <c r="E25" s="334"/>
      <c r="F25" s="334"/>
      <c r="G25" s="334"/>
      <c r="H25" s="334"/>
      <c r="I25" s="334"/>
      <c r="J25" s="334"/>
      <c r="K25" s="334"/>
      <c r="L25" s="334"/>
      <c r="M25" s="321"/>
      <c r="N25" s="3"/>
      <c r="O25" s="3"/>
      <c r="P25" s="3"/>
      <c r="Q25" s="3"/>
      <c r="R25" s="3"/>
      <c r="S25" s="3"/>
      <c r="T25" s="3"/>
      <c r="U25" s="3"/>
      <c r="V25" s="3"/>
      <c r="W25" s="3"/>
      <c r="X25" s="3"/>
      <c r="Y25" s="3"/>
      <c r="Z25" s="3"/>
      <c r="AA25" s="3"/>
    </row>
    <row r="26" spans="1:27" x14ac:dyDescent="0.15">
      <c r="A26" s="3"/>
      <c r="B26" s="3"/>
      <c r="C26" s="333"/>
      <c r="D26" s="356" t="s">
        <v>947</v>
      </c>
      <c r="E26" s="334"/>
      <c r="F26" s="334"/>
      <c r="G26" s="334"/>
      <c r="H26" s="334"/>
      <c r="I26" s="334"/>
      <c r="J26" s="334"/>
      <c r="K26" s="334"/>
      <c r="L26" s="334"/>
      <c r="M26" s="321"/>
      <c r="N26" s="3"/>
      <c r="O26" s="3"/>
      <c r="P26" s="3"/>
      <c r="Q26" s="3"/>
      <c r="R26" s="3"/>
      <c r="S26" s="3"/>
      <c r="T26" s="3"/>
      <c r="U26" s="3"/>
      <c r="V26" s="3"/>
      <c r="W26" s="3"/>
      <c r="X26" s="3"/>
      <c r="Y26" s="3"/>
      <c r="Z26" s="3"/>
      <c r="AA26" s="3"/>
    </row>
    <row r="27" spans="1:27" x14ac:dyDescent="0.15">
      <c r="A27" s="3"/>
      <c r="B27" s="3"/>
      <c r="C27" s="333"/>
      <c r="D27" s="356" t="s">
        <v>962</v>
      </c>
      <c r="E27" s="334"/>
      <c r="F27" s="334"/>
      <c r="G27" s="334"/>
      <c r="H27" s="334"/>
      <c r="I27" s="334"/>
      <c r="J27" s="334"/>
      <c r="K27" s="334"/>
      <c r="L27" s="334"/>
      <c r="M27" s="321"/>
      <c r="N27" s="3"/>
      <c r="O27" s="3"/>
      <c r="P27" s="3"/>
      <c r="Q27" s="3"/>
      <c r="R27" s="3"/>
      <c r="S27" s="3"/>
      <c r="T27" s="3"/>
      <c r="U27" s="3"/>
      <c r="V27" s="3"/>
      <c r="W27" s="3"/>
      <c r="X27" s="3"/>
      <c r="Y27" s="3"/>
      <c r="Z27" s="3"/>
      <c r="AA27" s="3"/>
    </row>
    <row r="28" spans="1:27" x14ac:dyDescent="0.15">
      <c r="A28" s="3"/>
      <c r="B28" s="3"/>
      <c r="C28" s="333"/>
      <c r="D28" s="356" t="s">
        <v>963</v>
      </c>
      <c r="E28" s="334"/>
      <c r="F28" s="334"/>
      <c r="G28" s="334"/>
      <c r="H28" s="334"/>
      <c r="I28" s="239" t="s">
        <v>1010</v>
      </c>
      <c r="J28" s="334"/>
      <c r="K28" s="334"/>
      <c r="L28" s="334"/>
      <c r="M28" s="321"/>
      <c r="N28" s="3"/>
      <c r="O28" s="3"/>
      <c r="P28" s="3"/>
      <c r="Q28" s="3"/>
      <c r="R28" s="3"/>
      <c r="S28" s="3"/>
      <c r="T28" s="3"/>
      <c r="U28" s="3"/>
      <c r="V28" s="3"/>
      <c r="W28" s="3"/>
      <c r="X28" s="3"/>
      <c r="Y28" s="3"/>
      <c r="Z28" s="3"/>
      <c r="AA28" s="3"/>
    </row>
    <row r="29" spans="1:27" x14ac:dyDescent="0.15">
      <c r="A29" s="3"/>
      <c r="B29" s="3"/>
      <c r="C29" s="333"/>
      <c r="D29" s="357" t="s">
        <v>948</v>
      </c>
      <c r="E29" s="334"/>
      <c r="F29" s="334"/>
      <c r="G29" s="334"/>
      <c r="H29" s="334"/>
      <c r="I29" s="334"/>
      <c r="J29" s="334"/>
      <c r="K29" s="334"/>
      <c r="L29" s="334"/>
      <c r="M29" s="321"/>
      <c r="N29" s="3"/>
      <c r="O29" s="3"/>
      <c r="P29" s="3"/>
      <c r="Q29" s="3"/>
      <c r="R29" s="3"/>
      <c r="S29" s="3"/>
      <c r="T29" s="3"/>
      <c r="U29" s="3"/>
      <c r="V29" s="3"/>
      <c r="W29" s="3"/>
      <c r="X29" s="3"/>
      <c r="Y29" s="3"/>
      <c r="Z29" s="3"/>
      <c r="AA29" s="3"/>
    </row>
    <row r="30" spans="1:27" x14ac:dyDescent="0.15">
      <c r="A30" s="3"/>
      <c r="B30" s="3"/>
      <c r="C30" s="333"/>
      <c r="D30" s="334" t="s">
        <v>939</v>
      </c>
      <c r="E30" s="334"/>
      <c r="F30" s="334"/>
      <c r="G30" s="334"/>
      <c r="H30" s="334"/>
      <c r="I30" s="334"/>
      <c r="J30" s="334"/>
      <c r="K30" s="334"/>
      <c r="L30" s="334"/>
      <c r="M30" s="321"/>
      <c r="N30" s="3"/>
      <c r="O30" s="3"/>
      <c r="P30" s="3"/>
      <c r="Q30" s="3"/>
      <c r="R30" s="3"/>
      <c r="S30" s="3"/>
      <c r="T30" s="3"/>
      <c r="U30" s="3"/>
      <c r="V30" s="3"/>
      <c r="W30" s="3"/>
      <c r="X30" s="3"/>
      <c r="Y30" s="3"/>
      <c r="Z30" s="3"/>
      <c r="AA30" s="3"/>
    </row>
    <row r="31" spans="1:27" x14ac:dyDescent="0.15">
      <c r="A31" s="3"/>
      <c r="B31" s="3"/>
      <c r="C31" s="333"/>
      <c r="D31" s="334"/>
      <c r="E31" s="334" t="s">
        <v>958</v>
      </c>
      <c r="F31" s="334"/>
      <c r="G31" s="334"/>
      <c r="H31" s="334"/>
      <c r="I31" s="334"/>
      <c r="J31" s="334"/>
      <c r="K31" s="334"/>
      <c r="L31" s="334"/>
      <c r="M31" s="321"/>
      <c r="N31" s="3"/>
      <c r="O31" s="3"/>
      <c r="P31" s="3"/>
      <c r="Q31" s="3"/>
      <c r="R31" s="3"/>
      <c r="S31" s="3"/>
      <c r="T31" s="3"/>
      <c r="U31" s="3"/>
      <c r="V31" s="3"/>
      <c r="W31" s="3"/>
      <c r="X31" s="3"/>
      <c r="Y31" s="3"/>
      <c r="Z31" s="3"/>
      <c r="AA31" s="3"/>
    </row>
    <row r="32" spans="1:27" x14ac:dyDescent="0.15">
      <c r="A32" s="3"/>
      <c r="B32" s="3"/>
      <c r="C32" s="333"/>
      <c r="D32" s="334"/>
      <c r="E32" s="334" t="s">
        <v>959</v>
      </c>
      <c r="F32" s="334"/>
      <c r="G32" s="334"/>
      <c r="H32" s="334"/>
      <c r="I32" s="334"/>
      <c r="J32" s="334"/>
      <c r="K32" s="334"/>
      <c r="L32" s="334"/>
      <c r="M32" s="321"/>
      <c r="N32" s="3"/>
      <c r="O32" s="3"/>
      <c r="P32" s="3"/>
      <c r="Q32" s="3"/>
      <c r="R32" s="3"/>
      <c r="S32" s="3"/>
      <c r="T32" s="3"/>
      <c r="U32" s="3"/>
      <c r="V32" s="3"/>
      <c r="W32" s="3"/>
      <c r="X32" s="3"/>
      <c r="Y32" s="3"/>
      <c r="Z32" s="3"/>
      <c r="AA32" s="3"/>
    </row>
    <row r="33" spans="1:27" x14ac:dyDescent="0.15">
      <c r="A33" s="3"/>
      <c r="B33" s="3"/>
      <c r="C33" s="333"/>
      <c r="D33" s="334"/>
      <c r="E33" s="358" t="s">
        <v>960</v>
      </c>
      <c r="F33" s="334"/>
      <c r="G33" s="334"/>
      <c r="H33" s="334"/>
      <c r="I33" s="334"/>
      <c r="J33" s="334"/>
      <c r="K33" s="334"/>
      <c r="L33" s="334"/>
      <c r="M33" s="321"/>
      <c r="N33" s="3"/>
      <c r="O33" s="3"/>
      <c r="P33" s="3"/>
      <c r="Q33" s="3"/>
      <c r="R33" s="3"/>
      <c r="S33" s="3"/>
      <c r="T33" s="3"/>
      <c r="U33" s="3"/>
      <c r="V33" s="3"/>
      <c r="W33" s="3"/>
      <c r="X33" s="3"/>
      <c r="Y33" s="3"/>
      <c r="Z33" s="3"/>
      <c r="AA33" s="3"/>
    </row>
    <row r="34" spans="1:27" x14ac:dyDescent="0.15">
      <c r="A34" s="3"/>
      <c r="B34" s="3"/>
      <c r="C34" s="333"/>
      <c r="D34" s="334"/>
      <c r="E34" s="334"/>
      <c r="F34" s="334"/>
      <c r="G34" s="334"/>
      <c r="H34" s="334"/>
      <c r="I34" s="334"/>
      <c r="J34" s="334"/>
      <c r="K34" s="334"/>
      <c r="L34" s="334"/>
      <c r="M34" s="321"/>
      <c r="N34" s="3"/>
      <c r="O34" s="3"/>
      <c r="P34" s="3"/>
      <c r="Q34" s="3"/>
      <c r="R34" s="3"/>
      <c r="S34" s="3"/>
      <c r="T34" s="3"/>
      <c r="U34" s="3"/>
      <c r="V34" s="3"/>
      <c r="W34" s="3"/>
      <c r="X34" s="3"/>
      <c r="Y34" s="3"/>
      <c r="Z34" s="3"/>
      <c r="AA34" s="3"/>
    </row>
    <row r="35" spans="1:27" x14ac:dyDescent="0.15">
      <c r="A35" s="3"/>
      <c r="B35" s="3"/>
      <c r="C35" s="333"/>
      <c r="D35" s="334"/>
      <c r="E35" s="334"/>
      <c r="F35" s="334"/>
      <c r="G35" s="334"/>
      <c r="H35" s="334"/>
      <c r="I35" s="334"/>
      <c r="J35" s="334"/>
      <c r="K35" s="334"/>
      <c r="L35" s="334"/>
      <c r="M35" s="321"/>
      <c r="N35" s="3"/>
      <c r="O35" s="3"/>
      <c r="P35" s="3"/>
      <c r="Q35" s="3"/>
      <c r="R35" s="3"/>
      <c r="S35" s="3"/>
      <c r="T35" s="3"/>
      <c r="U35" s="3"/>
      <c r="V35" s="3"/>
      <c r="W35" s="3"/>
      <c r="X35" s="3"/>
      <c r="Y35" s="3"/>
      <c r="Z35" s="3"/>
      <c r="AA35" s="3"/>
    </row>
    <row r="36" spans="1:27" x14ac:dyDescent="0.15">
      <c r="A36" s="3"/>
      <c r="B36" s="3"/>
      <c r="C36" s="333"/>
      <c r="D36" s="334" t="s">
        <v>964</v>
      </c>
      <c r="E36" s="334"/>
      <c r="F36" s="334"/>
      <c r="G36" s="334"/>
      <c r="H36" s="334"/>
      <c r="I36" s="334"/>
      <c r="J36" s="334"/>
      <c r="K36" s="334"/>
      <c r="L36" s="334"/>
      <c r="M36" s="321"/>
      <c r="N36" s="3"/>
      <c r="O36" s="3"/>
      <c r="P36" s="3"/>
      <c r="Q36" s="3"/>
      <c r="R36" s="3"/>
      <c r="S36" s="3"/>
      <c r="T36" s="3"/>
      <c r="U36" s="3"/>
      <c r="V36" s="3"/>
      <c r="W36" s="3"/>
      <c r="X36" s="3"/>
      <c r="Y36" s="3"/>
      <c r="Z36" s="3"/>
      <c r="AA36" s="3"/>
    </row>
    <row r="37" spans="1:27" x14ac:dyDescent="0.15">
      <c r="A37" s="3"/>
      <c r="B37" s="3"/>
      <c r="C37" s="333"/>
      <c r="D37" s="334"/>
      <c r="E37" s="334"/>
      <c r="F37" s="334"/>
      <c r="G37" s="334"/>
      <c r="H37" s="334"/>
      <c r="I37" s="334"/>
      <c r="J37" s="334"/>
      <c r="K37" s="334"/>
      <c r="L37" s="334"/>
      <c r="M37" s="321"/>
      <c r="N37" s="3"/>
      <c r="O37" s="3"/>
      <c r="P37" s="3"/>
      <c r="Q37" s="3"/>
      <c r="R37" s="3"/>
      <c r="S37" s="3"/>
      <c r="T37" s="3"/>
      <c r="U37" s="3"/>
      <c r="V37" s="3"/>
      <c r="W37" s="3"/>
      <c r="X37" s="3"/>
      <c r="Y37" s="3"/>
      <c r="Z37" s="3"/>
      <c r="AA37" s="3"/>
    </row>
    <row r="38" spans="1:27" x14ac:dyDescent="0.15">
      <c r="A38" s="3"/>
      <c r="B38" s="3"/>
      <c r="C38" s="333"/>
      <c r="D38" s="337" t="s">
        <v>512</v>
      </c>
      <c r="E38" s="334" t="s">
        <v>918</v>
      </c>
      <c r="F38" s="334"/>
      <c r="G38" s="334"/>
      <c r="H38" s="334"/>
      <c r="I38" s="334"/>
      <c r="J38" s="349">
        <v>0.1</v>
      </c>
      <c r="K38" s="334" t="s">
        <v>552</v>
      </c>
      <c r="L38" s="334"/>
      <c r="M38" s="321"/>
      <c r="N38" s="3"/>
      <c r="O38" s="3"/>
      <c r="P38" s="3"/>
      <c r="Q38" s="3"/>
      <c r="R38" s="3"/>
      <c r="S38" s="3"/>
      <c r="T38" s="3"/>
      <c r="U38" s="3"/>
      <c r="V38" s="3"/>
      <c r="W38" s="3"/>
      <c r="X38" s="3"/>
      <c r="Y38" s="3"/>
      <c r="Z38" s="3"/>
      <c r="AA38" s="3"/>
    </row>
    <row r="39" spans="1:27" x14ac:dyDescent="0.15">
      <c r="A39" s="3"/>
      <c r="B39" s="3"/>
      <c r="C39" s="333"/>
      <c r="D39" s="334"/>
      <c r="E39" s="334" t="s">
        <v>919</v>
      </c>
      <c r="F39" s="334"/>
      <c r="G39" s="334"/>
      <c r="H39" s="334"/>
      <c r="I39" s="334"/>
      <c r="J39" s="349">
        <v>0</v>
      </c>
      <c r="K39" s="334" t="s">
        <v>552</v>
      </c>
      <c r="L39" s="334"/>
      <c r="M39" s="321"/>
      <c r="N39" s="3"/>
      <c r="O39" s="3"/>
      <c r="P39" s="3"/>
      <c r="Q39" s="3"/>
      <c r="R39" s="3"/>
      <c r="S39" s="3"/>
      <c r="T39" s="3"/>
      <c r="U39" s="3"/>
      <c r="V39" s="3"/>
      <c r="W39" s="3"/>
      <c r="X39" s="3"/>
      <c r="Y39" s="3"/>
      <c r="Z39" s="3"/>
      <c r="AA39" s="3"/>
    </row>
    <row r="40" spans="1:27" x14ac:dyDescent="0.15">
      <c r="A40" s="3"/>
      <c r="B40" s="3"/>
      <c r="C40" s="333"/>
      <c r="D40" s="334"/>
      <c r="E40" s="334" t="s">
        <v>920</v>
      </c>
      <c r="F40" s="334"/>
      <c r="G40" s="334"/>
      <c r="H40" s="334"/>
      <c r="I40" s="334"/>
      <c r="J40" s="349">
        <v>0</v>
      </c>
      <c r="K40" s="334" t="s">
        <v>552</v>
      </c>
      <c r="L40" s="334"/>
      <c r="M40" s="321"/>
      <c r="N40" s="3"/>
      <c r="O40" s="3"/>
      <c r="P40" s="3"/>
      <c r="Q40" s="3"/>
      <c r="R40" s="3"/>
      <c r="S40" s="3"/>
      <c r="T40" s="3"/>
      <c r="U40" s="3"/>
      <c r="V40" s="3"/>
      <c r="W40" s="3"/>
      <c r="X40" s="3"/>
      <c r="Y40" s="3"/>
      <c r="Z40" s="3"/>
      <c r="AA40" s="3"/>
    </row>
    <row r="41" spans="1:27" x14ac:dyDescent="0.15">
      <c r="A41" s="3"/>
      <c r="B41" s="3"/>
      <c r="C41" s="333"/>
      <c r="D41" s="334"/>
      <c r="E41" s="334"/>
      <c r="F41" s="334"/>
      <c r="G41" s="334"/>
      <c r="H41" s="334"/>
      <c r="I41" s="334"/>
      <c r="J41" s="339"/>
      <c r="K41" s="334"/>
      <c r="L41" s="334"/>
      <c r="M41" s="321"/>
      <c r="N41" s="3"/>
      <c r="O41" s="3"/>
      <c r="P41" s="3"/>
      <c r="Q41" s="3"/>
      <c r="R41" s="3"/>
      <c r="S41" s="3"/>
      <c r="T41" s="3"/>
      <c r="U41" s="3"/>
      <c r="V41" s="3"/>
      <c r="W41" s="3"/>
      <c r="X41" s="3"/>
      <c r="Y41" s="3"/>
      <c r="Z41" s="3"/>
      <c r="AA41" s="3"/>
    </row>
    <row r="42" spans="1:27" x14ac:dyDescent="0.15">
      <c r="A42" s="3"/>
      <c r="B42" s="3"/>
      <c r="C42" s="333"/>
      <c r="D42" s="334"/>
      <c r="E42" s="334" t="s">
        <v>901</v>
      </c>
      <c r="F42" s="334"/>
      <c r="G42" s="334"/>
      <c r="H42" s="334"/>
      <c r="I42" s="334"/>
      <c r="J42" s="520" t="s">
        <v>1069</v>
      </c>
      <c r="K42" s="285" t="s">
        <v>905</v>
      </c>
      <c r="L42" s="334"/>
      <c r="M42" s="321"/>
      <c r="N42" s="3"/>
      <c r="O42" s="3"/>
      <c r="P42" s="3"/>
      <c r="Q42" s="3"/>
      <c r="R42" s="3"/>
      <c r="S42" s="3"/>
      <c r="T42" s="3"/>
      <c r="U42" s="3"/>
      <c r="V42" s="3"/>
      <c r="W42" s="3"/>
      <c r="X42" s="3"/>
      <c r="Y42" s="3"/>
      <c r="Z42" s="3"/>
      <c r="AA42" s="3"/>
    </row>
    <row r="43" spans="1:27" x14ac:dyDescent="0.15">
      <c r="A43" s="3"/>
      <c r="B43" s="3"/>
      <c r="C43" s="333"/>
      <c r="D43" s="334"/>
      <c r="E43" s="334" t="s">
        <v>906</v>
      </c>
      <c r="F43" s="334"/>
      <c r="G43" s="334"/>
      <c r="H43" s="346">
        <v>0.66</v>
      </c>
      <c r="I43" s="336" t="s">
        <v>1008</v>
      </c>
      <c r="J43" s="714">
        <f>Frequency!M10</f>
        <v>436.5</v>
      </c>
      <c r="K43" s="334" t="s">
        <v>551</v>
      </c>
      <c r="L43" s="334"/>
      <c r="M43" s="321"/>
      <c r="N43" s="3"/>
      <c r="O43" s="3"/>
      <c r="P43" s="3"/>
      <c r="Q43" s="3"/>
      <c r="R43" s="3"/>
      <c r="S43" s="3"/>
      <c r="T43" s="3"/>
      <c r="U43" s="3"/>
      <c r="V43" s="3"/>
      <c r="W43" s="3"/>
      <c r="X43" s="3"/>
      <c r="Y43" s="3"/>
      <c r="Z43" s="3"/>
      <c r="AA43" s="3"/>
    </row>
    <row r="44" spans="1:27" x14ac:dyDescent="0.15">
      <c r="A44" s="3"/>
      <c r="B44" s="3"/>
      <c r="C44" s="333"/>
      <c r="D44" s="334"/>
      <c r="E44" s="334"/>
      <c r="F44" s="334"/>
      <c r="G44" s="334"/>
      <c r="H44" s="334"/>
      <c r="I44" s="334"/>
      <c r="J44" s="334"/>
      <c r="K44" s="334"/>
      <c r="L44" s="334"/>
      <c r="M44" s="321"/>
      <c r="N44" s="3"/>
      <c r="O44" s="3"/>
      <c r="P44" s="3"/>
      <c r="Q44" s="3"/>
      <c r="R44" s="3"/>
      <c r="S44" s="3"/>
      <c r="T44" s="3"/>
      <c r="U44" s="3"/>
      <c r="V44" s="3"/>
      <c r="W44" s="3"/>
      <c r="X44" s="3"/>
      <c r="Y44" s="3"/>
      <c r="Z44" s="3"/>
      <c r="AA44" s="3"/>
    </row>
    <row r="45" spans="1:27" x14ac:dyDescent="0.15">
      <c r="A45" s="3"/>
      <c r="B45" s="3"/>
      <c r="C45" s="333"/>
      <c r="D45" s="334"/>
      <c r="E45" s="334" t="s">
        <v>970</v>
      </c>
      <c r="F45" s="334"/>
      <c r="G45" s="334"/>
      <c r="H45" s="334"/>
      <c r="I45" s="334" t="s">
        <v>967</v>
      </c>
      <c r="J45" s="334">
        <f>J38*H43</f>
        <v>6.6000000000000003E-2</v>
      </c>
      <c r="K45" s="336" t="s">
        <v>554</v>
      </c>
      <c r="L45" s="334"/>
      <c r="M45" s="321"/>
      <c r="N45" s="3"/>
      <c r="O45" s="3"/>
      <c r="P45" s="3"/>
      <c r="Q45" s="3"/>
      <c r="R45" s="3"/>
      <c r="S45" s="3"/>
      <c r="T45" s="3"/>
      <c r="U45" s="3"/>
      <c r="V45" s="3"/>
      <c r="W45" s="3"/>
      <c r="X45" s="3"/>
      <c r="Y45" s="3"/>
      <c r="Z45" s="3"/>
      <c r="AA45" s="3"/>
    </row>
    <row r="46" spans="1:27" x14ac:dyDescent="0.15">
      <c r="A46" s="3"/>
      <c r="B46" s="3"/>
      <c r="C46" s="333"/>
      <c r="D46" s="334"/>
      <c r="E46" s="334" t="s">
        <v>974</v>
      </c>
      <c r="F46" s="334"/>
      <c r="G46" s="334"/>
      <c r="H46" s="334"/>
      <c r="I46" s="334" t="s">
        <v>968</v>
      </c>
      <c r="J46" s="334">
        <f>J39*H43</f>
        <v>0</v>
      </c>
      <c r="K46" s="336" t="s">
        <v>554</v>
      </c>
      <c r="L46" s="334"/>
      <c r="M46" s="321"/>
      <c r="N46" s="3"/>
      <c r="O46" s="3"/>
      <c r="P46" s="3"/>
      <c r="Q46" s="3"/>
      <c r="R46" s="3"/>
      <c r="S46" s="3"/>
      <c r="T46" s="3"/>
      <c r="U46" s="3"/>
      <c r="V46" s="3"/>
      <c r="W46" s="3"/>
      <c r="X46" s="3"/>
      <c r="Y46" s="3"/>
      <c r="Z46" s="3"/>
      <c r="AA46" s="3"/>
    </row>
    <row r="47" spans="1:27" x14ac:dyDescent="0.15">
      <c r="A47" s="3"/>
      <c r="B47" s="3"/>
      <c r="C47" s="333"/>
      <c r="D47" s="334"/>
      <c r="E47" s="334" t="s">
        <v>975</v>
      </c>
      <c r="F47" s="334"/>
      <c r="G47" s="334"/>
      <c r="H47" s="334"/>
      <c r="I47" s="334" t="s">
        <v>969</v>
      </c>
      <c r="J47" s="334">
        <f>J40*H43</f>
        <v>0</v>
      </c>
      <c r="K47" s="334" t="s">
        <v>554</v>
      </c>
      <c r="L47" s="334"/>
      <c r="M47" s="321"/>
      <c r="N47" s="3"/>
      <c r="O47" s="3"/>
      <c r="P47" s="3"/>
      <c r="Q47" s="3"/>
      <c r="R47" s="3"/>
      <c r="S47" s="3"/>
      <c r="T47" s="3"/>
      <c r="U47" s="3"/>
      <c r="V47" s="3"/>
      <c r="W47" s="3"/>
      <c r="X47" s="3"/>
      <c r="Y47" s="3"/>
      <c r="Z47" s="3"/>
      <c r="AA47" s="3"/>
    </row>
    <row r="48" spans="1:27" x14ac:dyDescent="0.15">
      <c r="A48" s="3"/>
      <c r="B48" s="3"/>
      <c r="C48" s="333"/>
      <c r="D48" s="334"/>
      <c r="E48" s="334" t="s">
        <v>976</v>
      </c>
      <c r="F48" s="334"/>
      <c r="G48" s="334"/>
      <c r="H48" s="334"/>
      <c r="I48" s="334" t="s">
        <v>977</v>
      </c>
      <c r="J48" s="350">
        <v>0.5</v>
      </c>
      <c r="K48" s="334" t="s">
        <v>554</v>
      </c>
      <c r="L48" s="334"/>
      <c r="M48" s="321"/>
      <c r="N48" s="3"/>
      <c r="O48" s="3"/>
      <c r="P48" s="3"/>
      <c r="Q48" s="3"/>
      <c r="R48" s="3"/>
      <c r="S48" s="3"/>
      <c r="T48" s="3"/>
      <c r="U48" s="3"/>
      <c r="V48" s="3"/>
      <c r="W48" s="3"/>
      <c r="X48" s="3"/>
      <c r="Y48" s="3"/>
      <c r="Z48" s="3"/>
      <c r="AA48" s="3"/>
    </row>
    <row r="49" spans="1:27" x14ac:dyDescent="0.15">
      <c r="A49" s="3"/>
      <c r="B49" s="3"/>
      <c r="C49" s="333"/>
      <c r="D49" s="334"/>
      <c r="E49" s="334" t="s">
        <v>978</v>
      </c>
      <c r="F49" s="334"/>
      <c r="G49" s="334"/>
      <c r="H49" s="334"/>
      <c r="I49" s="334" t="s">
        <v>979</v>
      </c>
      <c r="J49" s="349">
        <v>0.33</v>
      </c>
      <c r="K49" s="334" t="s">
        <v>554</v>
      </c>
      <c r="L49" s="334"/>
      <c r="M49" s="321"/>
      <c r="N49" s="3"/>
      <c r="O49" s="3"/>
      <c r="P49" s="3"/>
      <c r="Q49" s="3"/>
      <c r="R49" s="3"/>
      <c r="S49" s="3"/>
      <c r="T49" s="3"/>
      <c r="U49" s="3"/>
      <c r="V49" s="3"/>
      <c r="W49" s="3"/>
      <c r="X49" s="3"/>
      <c r="Y49" s="3"/>
      <c r="Z49" s="3"/>
      <c r="AA49" s="3"/>
    </row>
    <row r="50" spans="1:27" x14ac:dyDescent="0.15">
      <c r="A50" s="3"/>
      <c r="B50" s="3"/>
      <c r="C50" s="333"/>
      <c r="D50" s="334"/>
      <c r="E50" s="334" t="s">
        <v>1006</v>
      </c>
      <c r="F50" s="334"/>
      <c r="G50" s="334"/>
      <c r="H50" s="262">
        <v>2</v>
      </c>
      <c r="I50" s="334" t="s">
        <v>1007</v>
      </c>
      <c r="J50" s="378">
        <f>H50*0.05</f>
        <v>0.1</v>
      </c>
      <c r="K50" s="334" t="s">
        <v>554</v>
      </c>
      <c r="L50" s="334"/>
      <c r="M50" s="321"/>
      <c r="N50" s="3"/>
      <c r="O50" s="3"/>
      <c r="P50" s="3"/>
      <c r="Q50" s="3"/>
      <c r="R50" s="3"/>
      <c r="S50" s="3"/>
      <c r="T50" s="3"/>
      <c r="U50" s="3"/>
      <c r="V50" s="3"/>
      <c r="W50" s="3"/>
      <c r="X50" s="3"/>
      <c r="Y50" s="3"/>
      <c r="Z50" s="3"/>
      <c r="AA50" s="3"/>
    </row>
    <row r="51" spans="1:27" x14ac:dyDescent="0.15">
      <c r="A51" s="3"/>
      <c r="B51" s="3"/>
      <c r="C51" s="333"/>
      <c r="D51" s="334"/>
      <c r="E51" s="334" t="s">
        <v>222</v>
      </c>
      <c r="F51" s="334"/>
      <c r="G51" s="334"/>
      <c r="H51" s="335"/>
      <c r="I51" s="334"/>
      <c r="J51" s="911" t="s">
        <v>1070</v>
      </c>
      <c r="K51" s="380"/>
      <c r="L51" s="334"/>
      <c r="M51" s="321"/>
      <c r="N51" s="3"/>
      <c r="O51" s="3"/>
      <c r="P51" s="3"/>
      <c r="Q51" s="3"/>
      <c r="R51" s="3"/>
      <c r="S51" s="3"/>
      <c r="T51" s="3"/>
      <c r="U51" s="3"/>
      <c r="V51" s="3"/>
      <c r="W51" s="3"/>
      <c r="X51" s="3"/>
      <c r="Y51" s="3"/>
      <c r="Z51" s="3"/>
      <c r="AA51" s="3"/>
    </row>
    <row r="52" spans="1:27" x14ac:dyDescent="0.15">
      <c r="A52" s="3"/>
      <c r="B52" s="3"/>
      <c r="C52" s="333"/>
      <c r="D52" s="334"/>
      <c r="E52" s="334"/>
      <c r="F52" s="334"/>
      <c r="G52" s="334"/>
      <c r="H52" s="334"/>
      <c r="I52" s="334"/>
      <c r="J52" s="334"/>
      <c r="K52" s="334"/>
      <c r="L52" s="334"/>
      <c r="M52" s="321"/>
      <c r="N52" s="3"/>
      <c r="O52" s="365" t="s">
        <v>475</v>
      </c>
      <c r="P52" s="381"/>
      <c r="Q52" s="291"/>
      <c r="R52" s="291"/>
      <c r="S52" s="291"/>
      <c r="T52" s="291"/>
      <c r="U52" s="291"/>
      <c r="V52" s="241" t="s">
        <v>868</v>
      </c>
      <c r="W52" s="3"/>
      <c r="X52" s="3"/>
      <c r="Y52" s="3"/>
      <c r="Z52" s="3"/>
      <c r="AA52" s="3"/>
    </row>
    <row r="53" spans="1:27" x14ac:dyDescent="0.15">
      <c r="A53" s="3"/>
      <c r="B53" s="3"/>
      <c r="C53" s="333"/>
      <c r="D53" s="334"/>
      <c r="E53" s="334" t="s">
        <v>980</v>
      </c>
      <c r="F53" s="334"/>
      <c r="G53" s="334"/>
      <c r="H53" s="334"/>
      <c r="I53" s="334"/>
      <c r="J53" s="345">
        <f>SUM(J45:J50)</f>
        <v>0.99600000000000011</v>
      </c>
      <c r="K53" s="334" t="s">
        <v>554</v>
      </c>
      <c r="L53" s="334"/>
      <c r="M53" s="321"/>
      <c r="N53" s="3"/>
      <c r="O53" s="293"/>
      <c r="P53" s="295"/>
      <c r="Q53" s="295"/>
      <c r="R53" s="295"/>
      <c r="S53" s="295"/>
      <c r="T53" s="295"/>
      <c r="U53" s="295"/>
      <c r="V53" s="366"/>
      <c r="W53" s="3"/>
      <c r="X53" s="3"/>
      <c r="Y53" s="3"/>
      <c r="Z53" s="3"/>
      <c r="AA53" s="3"/>
    </row>
    <row r="54" spans="1:27" x14ac:dyDescent="0.15">
      <c r="A54" s="3"/>
      <c r="B54" s="3"/>
      <c r="C54" s="333"/>
      <c r="D54" s="334"/>
      <c r="E54" s="334"/>
      <c r="F54" s="334"/>
      <c r="G54" s="334"/>
      <c r="H54" s="334"/>
      <c r="I54" s="334"/>
      <c r="J54" s="334"/>
      <c r="K54" s="334"/>
      <c r="L54" s="334"/>
      <c r="M54" s="321"/>
      <c r="N54" s="3"/>
      <c r="O54" s="293"/>
      <c r="P54" s="295"/>
      <c r="Q54" s="295" t="s">
        <v>998</v>
      </c>
      <c r="R54" s="295"/>
      <c r="S54" s="295"/>
      <c r="T54" s="295"/>
      <c r="U54" s="295"/>
      <c r="V54" s="366"/>
      <c r="W54" s="3"/>
      <c r="X54" s="3"/>
      <c r="Y54" s="3"/>
      <c r="Z54" s="3"/>
      <c r="AA54" s="3"/>
    </row>
    <row r="55" spans="1:27" x14ac:dyDescent="0.15">
      <c r="A55" s="3"/>
      <c r="B55" s="3"/>
      <c r="C55" s="333"/>
      <c r="D55" s="334" t="s">
        <v>981</v>
      </c>
      <c r="E55" s="334"/>
      <c r="F55" s="334"/>
      <c r="G55" s="334"/>
      <c r="H55" s="334"/>
      <c r="I55" s="361" t="s">
        <v>982</v>
      </c>
      <c r="J55" s="352">
        <f>10^-(J53/10)</f>
        <v>0.79506017508441984</v>
      </c>
      <c r="K55" s="334"/>
      <c r="L55" s="334"/>
      <c r="M55" s="321"/>
      <c r="N55" s="3"/>
      <c r="O55" s="293"/>
      <c r="P55" s="295"/>
      <c r="Q55" s="295"/>
      <c r="R55" s="295" t="s">
        <v>995</v>
      </c>
      <c r="S55" s="295"/>
      <c r="T55" s="295"/>
      <c r="U55" s="295"/>
      <c r="V55" s="366"/>
      <c r="W55" s="3"/>
      <c r="X55" s="3"/>
      <c r="Y55" s="3"/>
      <c r="Z55" s="3"/>
      <c r="AA55" s="3"/>
    </row>
    <row r="56" spans="1:27" x14ac:dyDescent="0.15">
      <c r="A56" s="3"/>
      <c r="B56" s="3"/>
      <c r="C56" s="333"/>
      <c r="D56" s="334"/>
      <c r="E56" s="334"/>
      <c r="F56" s="334"/>
      <c r="G56" s="334"/>
      <c r="H56" s="334"/>
      <c r="I56" s="334"/>
      <c r="J56" s="334"/>
      <c r="K56" s="334"/>
      <c r="L56" s="334"/>
      <c r="M56" s="321"/>
      <c r="N56" s="3"/>
      <c r="O56" s="293"/>
      <c r="P56" s="295"/>
      <c r="Q56" s="295" t="s">
        <v>997</v>
      </c>
      <c r="R56" s="295"/>
      <c r="S56" s="295"/>
      <c r="T56" s="753" t="s">
        <v>986</v>
      </c>
      <c r="U56" s="239">
        <f>J59</f>
        <v>300</v>
      </c>
      <c r="V56" s="366" t="s">
        <v>582</v>
      </c>
      <c r="W56" s="3"/>
      <c r="X56" s="3"/>
      <c r="Y56" s="3"/>
      <c r="Z56" s="3"/>
      <c r="AA56" s="3"/>
    </row>
    <row r="57" spans="1:27" x14ac:dyDescent="0.15">
      <c r="A57" s="3"/>
      <c r="B57" s="3"/>
      <c r="C57" s="333"/>
      <c r="D57" s="334" t="s">
        <v>983</v>
      </c>
      <c r="E57" s="334"/>
      <c r="F57" s="334"/>
      <c r="G57" s="239" t="s">
        <v>868</v>
      </c>
      <c r="H57" s="334"/>
      <c r="I57" s="334" t="s">
        <v>984</v>
      </c>
      <c r="J57" s="349">
        <v>108</v>
      </c>
      <c r="K57" s="334" t="s">
        <v>582</v>
      </c>
      <c r="L57" s="334"/>
      <c r="M57" s="321"/>
      <c r="N57" s="3"/>
      <c r="O57" s="293"/>
      <c r="P57" s="295"/>
      <c r="Q57" s="295"/>
      <c r="R57" s="295"/>
      <c r="S57" s="295"/>
      <c r="T57" s="295"/>
      <c r="U57" s="295"/>
      <c r="V57" s="366"/>
      <c r="W57" s="3"/>
      <c r="X57" s="3"/>
      <c r="Y57" s="3"/>
      <c r="Z57" s="3"/>
      <c r="AA57" s="3"/>
    </row>
    <row r="58" spans="1:27" x14ac:dyDescent="0.15">
      <c r="A58" s="3"/>
      <c r="B58" s="3"/>
      <c r="C58" s="333"/>
      <c r="D58" s="334"/>
      <c r="E58" s="334"/>
      <c r="F58" s="334"/>
      <c r="G58" s="334"/>
      <c r="H58" s="334"/>
      <c r="I58" s="334"/>
      <c r="J58" s="334"/>
      <c r="K58" s="334"/>
      <c r="L58" s="334"/>
      <c r="M58" s="321"/>
      <c r="N58" s="3"/>
      <c r="O58" s="293"/>
      <c r="P58" s="295"/>
      <c r="Q58" s="295"/>
      <c r="R58" s="295"/>
      <c r="S58" s="295"/>
      <c r="T58" s="295"/>
      <c r="U58" s="295"/>
      <c r="V58" s="366"/>
      <c r="W58" s="3"/>
      <c r="X58" s="3"/>
      <c r="Y58" s="3"/>
      <c r="Z58" s="3"/>
      <c r="AA58" s="3"/>
    </row>
    <row r="59" spans="1:27" x14ac:dyDescent="0.15">
      <c r="A59" s="3"/>
      <c r="B59" s="3"/>
      <c r="C59" s="333"/>
      <c r="D59" s="334" t="s">
        <v>985</v>
      </c>
      <c r="E59" s="334"/>
      <c r="F59" s="334"/>
      <c r="G59" s="334"/>
      <c r="H59" s="334"/>
      <c r="I59" s="334" t="s">
        <v>986</v>
      </c>
      <c r="J59" s="349">
        <v>300</v>
      </c>
      <c r="K59" s="334" t="s">
        <v>582</v>
      </c>
      <c r="L59" s="334"/>
      <c r="M59" s="321"/>
      <c r="N59" s="3"/>
      <c r="O59" s="293"/>
      <c r="P59" s="295"/>
      <c r="Q59" s="367" t="s">
        <v>996</v>
      </c>
      <c r="R59" s="347">
        <v>1</v>
      </c>
      <c r="S59" s="295" t="s">
        <v>554</v>
      </c>
      <c r="T59" s="367" t="s">
        <v>999</v>
      </c>
      <c r="U59" s="353">
        <f>J59*(10^(R59/10)-1)</f>
        <v>77.677623538250188</v>
      </c>
      <c r="V59" s="366" t="s">
        <v>582</v>
      </c>
      <c r="W59" s="3"/>
      <c r="X59" s="3"/>
      <c r="Y59" s="3"/>
      <c r="Z59" s="3"/>
      <c r="AA59" s="3"/>
    </row>
    <row r="60" spans="1:27" x14ac:dyDescent="0.15">
      <c r="A60" s="3"/>
      <c r="B60" s="3"/>
      <c r="C60" s="333"/>
      <c r="D60" s="334"/>
      <c r="E60" s="334"/>
      <c r="F60" s="334"/>
      <c r="G60" s="334"/>
      <c r="H60" s="334"/>
      <c r="I60" s="334"/>
      <c r="J60" s="334"/>
      <c r="K60" s="334"/>
      <c r="L60" s="334"/>
      <c r="M60" s="321"/>
      <c r="N60" s="3"/>
      <c r="O60" s="293"/>
      <c r="P60" s="295"/>
      <c r="Q60" s="295"/>
      <c r="R60" s="295"/>
      <c r="S60" s="295"/>
      <c r="T60" s="295"/>
      <c r="U60" s="295"/>
      <c r="V60" s="366"/>
      <c r="W60" s="3"/>
      <c r="X60" s="3"/>
      <c r="Y60" s="3"/>
      <c r="Z60" s="3"/>
      <c r="AA60" s="3"/>
    </row>
    <row r="61" spans="1:27" x14ac:dyDescent="0.15">
      <c r="A61" s="3"/>
      <c r="B61" s="3"/>
      <c r="C61" s="333"/>
      <c r="D61" s="334" t="s">
        <v>987</v>
      </c>
      <c r="E61" s="334"/>
      <c r="F61" s="334"/>
      <c r="G61" s="334"/>
      <c r="H61" s="334"/>
      <c r="I61" s="334" t="s">
        <v>988</v>
      </c>
      <c r="J61" s="349">
        <v>77.7</v>
      </c>
      <c r="K61" s="334" t="s">
        <v>582</v>
      </c>
      <c r="L61" s="334"/>
      <c r="M61" s="321"/>
      <c r="N61" s="3"/>
      <c r="O61" s="293"/>
      <c r="P61" s="295"/>
      <c r="Q61" s="295"/>
      <c r="R61" s="295"/>
      <c r="S61" s="368" t="s">
        <v>1001</v>
      </c>
      <c r="T61" s="295"/>
      <c r="U61" s="295"/>
      <c r="V61" s="366"/>
      <c r="W61" s="3"/>
      <c r="X61" s="3"/>
      <c r="Y61" s="3"/>
      <c r="Z61" s="3"/>
      <c r="AA61" s="3"/>
    </row>
    <row r="62" spans="1:27" x14ac:dyDescent="0.15">
      <c r="A62" s="3"/>
      <c r="B62" s="3"/>
      <c r="C62" s="333"/>
      <c r="D62" s="334"/>
      <c r="E62" s="334"/>
      <c r="F62" s="334"/>
      <c r="G62" s="334"/>
      <c r="H62" s="334"/>
      <c r="I62" s="334"/>
      <c r="J62" s="334"/>
      <c r="K62" s="334"/>
      <c r="L62" s="334"/>
      <c r="M62" s="321"/>
      <c r="N62" s="3"/>
      <c r="O62" s="293"/>
      <c r="P62" s="295"/>
      <c r="Q62" s="295"/>
      <c r="R62" s="295"/>
      <c r="S62" s="295"/>
      <c r="T62" s="295"/>
      <c r="U62" s="295"/>
      <c r="V62" s="366"/>
      <c r="W62" s="3"/>
      <c r="X62" s="3"/>
      <c r="Y62" s="3"/>
      <c r="Z62" s="3"/>
      <c r="AA62" s="3"/>
    </row>
    <row r="63" spans="1:27" x14ac:dyDescent="0.15">
      <c r="A63" s="3"/>
      <c r="B63" s="3"/>
      <c r="C63" s="333"/>
      <c r="D63" s="334" t="s">
        <v>990</v>
      </c>
      <c r="E63" s="334"/>
      <c r="F63" s="350">
        <v>23</v>
      </c>
      <c r="G63" s="334" t="s">
        <v>554</v>
      </c>
      <c r="H63" s="334"/>
      <c r="I63" s="334" t="s">
        <v>991</v>
      </c>
      <c r="J63" s="359">
        <f>10^(F63/10)</f>
        <v>199.52623149688802</v>
      </c>
      <c r="K63" s="334"/>
      <c r="L63" s="334"/>
      <c r="M63" s="321"/>
      <c r="N63" s="3"/>
      <c r="O63" s="293"/>
      <c r="P63" s="295"/>
      <c r="Q63" s="367" t="s">
        <v>999</v>
      </c>
      <c r="R63" s="347">
        <v>300</v>
      </c>
      <c r="S63" s="295" t="s">
        <v>582</v>
      </c>
      <c r="T63" s="367" t="s">
        <v>1000</v>
      </c>
      <c r="U63" s="364">
        <f>10*LOG10(1+(R63/J59))</f>
        <v>3.0102999566398121</v>
      </c>
      <c r="V63" s="366" t="s">
        <v>554</v>
      </c>
      <c r="W63" s="3"/>
      <c r="X63" s="3"/>
      <c r="Y63" s="3"/>
      <c r="Z63" s="3"/>
      <c r="AA63" s="3"/>
    </row>
    <row r="64" spans="1:27" x14ac:dyDescent="0.15">
      <c r="A64" s="3"/>
      <c r="B64" s="3"/>
      <c r="C64" s="333"/>
      <c r="D64" s="334"/>
      <c r="E64" s="334"/>
      <c r="F64" s="334"/>
      <c r="G64" s="334"/>
      <c r="H64" s="334"/>
      <c r="I64" s="334"/>
      <c r="J64" s="334"/>
      <c r="K64" s="334"/>
      <c r="L64" s="334"/>
      <c r="M64" s="321"/>
      <c r="N64" s="3"/>
      <c r="O64" s="293"/>
      <c r="P64" s="295"/>
      <c r="Q64" s="295"/>
      <c r="R64" s="295"/>
      <c r="S64" s="295"/>
      <c r="T64" s="295"/>
      <c r="U64" s="295"/>
      <c r="V64" s="366"/>
      <c r="W64" s="3"/>
      <c r="X64" s="3"/>
      <c r="Y64" s="3"/>
      <c r="Z64" s="3"/>
      <c r="AA64" s="3"/>
    </row>
    <row r="65" spans="1:27" x14ac:dyDescent="0.15">
      <c r="A65" s="3"/>
      <c r="B65" s="3"/>
      <c r="C65" s="333"/>
      <c r="D65" s="334" t="s">
        <v>989</v>
      </c>
      <c r="E65" s="334"/>
      <c r="F65" s="334"/>
      <c r="G65" s="334"/>
      <c r="H65" s="334"/>
      <c r="I65" s="334" t="s">
        <v>992</v>
      </c>
      <c r="J65" s="349">
        <v>0</v>
      </c>
      <c r="K65" s="334" t="s">
        <v>582</v>
      </c>
      <c r="L65" s="334"/>
      <c r="M65" s="321"/>
      <c r="N65" s="3"/>
      <c r="O65" s="293"/>
      <c r="P65" s="295"/>
      <c r="Q65" s="295"/>
      <c r="R65" s="295"/>
      <c r="S65" s="295"/>
      <c r="T65" s="295"/>
      <c r="U65" s="295"/>
      <c r="V65" s="366"/>
      <c r="W65" s="3"/>
      <c r="X65" s="3"/>
      <c r="Y65" s="3"/>
      <c r="Z65" s="3"/>
      <c r="AA65" s="3"/>
    </row>
    <row r="66" spans="1:27" x14ac:dyDescent="0.15">
      <c r="A66" s="3"/>
      <c r="B66" s="3"/>
      <c r="C66" s="333"/>
      <c r="D66" s="334"/>
      <c r="E66" s="334"/>
      <c r="F66" s="334"/>
      <c r="G66" s="334"/>
      <c r="H66" s="334"/>
      <c r="I66" s="334"/>
      <c r="J66" s="334"/>
      <c r="K66" s="334"/>
      <c r="L66" s="334"/>
      <c r="M66" s="321"/>
      <c r="N66" s="3"/>
      <c r="O66" s="293"/>
      <c r="P66" s="295"/>
      <c r="Q66" s="295"/>
      <c r="R66" s="295"/>
      <c r="S66" s="295"/>
      <c r="T66" s="295"/>
      <c r="U66" s="295"/>
      <c r="V66" s="366"/>
      <c r="W66" s="3"/>
      <c r="X66" s="3"/>
      <c r="Y66" s="3"/>
      <c r="Z66" s="3"/>
      <c r="AA66" s="3"/>
    </row>
    <row r="67" spans="1:27" x14ac:dyDescent="0.15">
      <c r="A67" s="3"/>
      <c r="B67" s="3"/>
      <c r="C67" s="333"/>
      <c r="D67" s="334"/>
      <c r="E67" s="334"/>
      <c r="F67" s="334"/>
      <c r="G67" s="334"/>
      <c r="H67" s="334"/>
      <c r="I67" s="334"/>
      <c r="J67" s="334"/>
      <c r="K67" s="334"/>
      <c r="L67" s="362"/>
      <c r="M67" s="321"/>
      <c r="N67" s="3"/>
      <c r="O67" s="293"/>
      <c r="P67" s="295"/>
      <c r="Q67" s="369"/>
      <c r="R67" s="370" t="s">
        <v>1002</v>
      </c>
      <c r="S67" s="369"/>
      <c r="T67" s="295"/>
      <c r="U67" s="370" t="s">
        <v>1003</v>
      </c>
      <c r="V67" s="366"/>
      <c r="W67" s="3"/>
      <c r="X67" s="3"/>
      <c r="Y67" s="3"/>
      <c r="Z67" s="3"/>
      <c r="AA67" s="3"/>
    </row>
    <row r="68" spans="1:27" x14ac:dyDescent="0.15">
      <c r="A68" s="3"/>
      <c r="B68" s="3"/>
      <c r="C68" s="333"/>
      <c r="D68" s="334" t="s">
        <v>993</v>
      </c>
      <c r="E68" s="334"/>
      <c r="F68" s="334"/>
      <c r="G68" s="334"/>
      <c r="H68" s="334"/>
      <c r="I68" s="334" t="s">
        <v>994</v>
      </c>
      <c r="J68" s="363">
        <f>J57*J55+J59*(1-J55)+J61+(J65/J63)</f>
        <v>225.04844638379137</v>
      </c>
      <c r="K68" s="334" t="s">
        <v>582</v>
      </c>
      <c r="L68" s="334"/>
      <c r="M68" s="321"/>
      <c r="N68" s="3"/>
      <c r="O68" s="293"/>
      <c r="P68" s="295"/>
      <c r="Q68" s="295"/>
      <c r="R68" s="295"/>
      <c r="S68" s="295"/>
      <c r="T68" s="295"/>
      <c r="U68" s="295"/>
      <c r="V68" s="366"/>
      <c r="W68" s="3"/>
      <c r="X68" s="3"/>
      <c r="Y68" s="3"/>
      <c r="Z68" s="3"/>
      <c r="AA68" s="3"/>
    </row>
    <row r="69" spans="1:27" x14ac:dyDescent="0.15">
      <c r="A69" s="3"/>
      <c r="B69" s="3"/>
      <c r="C69" s="333"/>
      <c r="D69" s="334"/>
      <c r="E69" s="334"/>
      <c r="F69" s="334"/>
      <c r="G69" s="334"/>
      <c r="H69" s="334"/>
      <c r="I69" s="334"/>
      <c r="J69" s="334"/>
      <c r="K69" s="334"/>
      <c r="L69" s="334"/>
      <c r="M69" s="321"/>
      <c r="N69" s="3"/>
      <c r="O69" s="296"/>
      <c r="P69" s="297"/>
      <c r="Q69" s="297"/>
      <c r="R69" s="297"/>
      <c r="S69" s="297"/>
      <c r="T69" s="297"/>
      <c r="U69" s="297"/>
      <c r="V69" s="298"/>
      <c r="W69" s="3"/>
      <c r="X69" s="3"/>
      <c r="Y69" s="3"/>
      <c r="Z69" s="3"/>
      <c r="AA69" s="3"/>
    </row>
    <row r="70" spans="1:27" x14ac:dyDescent="0.15">
      <c r="A70" s="3"/>
      <c r="B70" s="3"/>
      <c r="C70" s="333"/>
      <c r="D70" s="334"/>
      <c r="E70" s="334"/>
      <c r="F70" s="334"/>
      <c r="G70" s="334"/>
      <c r="H70" s="334"/>
      <c r="I70" s="334"/>
      <c r="J70" s="334"/>
      <c r="K70" s="334"/>
      <c r="L70" s="334"/>
      <c r="M70" s="321"/>
      <c r="N70" s="3"/>
      <c r="O70" s="3"/>
      <c r="P70" s="3"/>
      <c r="Q70" s="3"/>
      <c r="R70" s="3"/>
      <c r="S70" s="3"/>
      <c r="T70" s="3"/>
      <c r="U70" s="3"/>
      <c r="V70" s="3"/>
      <c r="W70" s="3"/>
      <c r="X70" s="3"/>
      <c r="Y70" s="3"/>
      <c r="Z70" s="3"/>
      <c r="AA70" s="3"/>
    </row>
    <row r="71" spans="1:27" x14ac:dyDescent="0.15">
      <c r="A71" s="3"/>
      <c r="B71" s="3"/>
      <c r="C71" s="341"/>
      <c r="D71" s="342"/>
      <c r="E71" s="342"/>
      <c r="F71" s="342"/>
      <c r="G71" s="342"/>
      <c r="H71" s="342"/>
      <c r="I71" s="342"/>
      <c r="J71" s="342"/>
      <c r="K71" s="342"/>
      <c r="L71" s="342"/>
      <c r="M71" s="343"/>
      <c r="N71" s="3"/>
      <c r="O71" s="3"/>
      <c r="P71" s="3"/>
      <c r="Q71" s="3"/>
      <c r="R71" s="3"/>
      <c r="S71" s="3"/>
      <c r="T71" s="3"/>
      <c r="U71" s="3"/>
      <c r="V71" s="3"/>
      <c r="W71" s="3"/>
      <c r="X71" s="3"/>
      <c r="Y71" s="3"/>
      <c r="Z71" s="3"/>
      <c r="AA71" s="3"/>
    </row>
    <row r="72" spans="1:27"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x14ac:dyDescent="0.15">
      <c r="A74" s="3"/>
      <c r="B74" s="3"/>
      <c r="C74" s="3"/>
      <c r="D74" s="3"/>
      <c r="E74" s="3"/>
      <c r="F74" s="3"/>
      <c r="G74" s="3"/>
      <c r="H74" s="3"/>
      <c r="I74" s="3"/>
      <c r="J74" s="3"/>
      <c r="K74" s="3"/>
      <c r="L74" s="3" t="s">
        <v>512</v>
      </c>
      <c r="M74" s="3"/>
      <c r="N74" s="3"/>
      <c r="O74" s="3"/>
      <c r="P74" s="3"/>
      <c r="Q74" s="3"/>
      <c r="R74" s="3"/>
      <c r="S74" s="3"/>
      <c r="T74" s="3"/>
      <c r="U74" s="3"/>
      <c r="V74" s="3"/>
      <c r="W74" s="3"/>
      <c r="X74" s="3"/>
      <c r="Y74" s="3"/>
      <c r="Z74" s="3"/>
      <c r="AA74" s="3"/>
    </row>
    <row r="75" spans="1:27" ht="16" x14ac:dyDescent="0.2">
      <c r="A75" s="3"/>
      <c r="B75" s="270" t="s">
        <v>1004</v>
      </c>
      <c r="C75" s="189"/>
      <c r="D75" s="189"/>
      <c r="E75" s="189"/>
      <c r="F75" s="189"/>
      <c r="G75" s="190"/>
      <c r="H75" s="3"/>
      <c r="I75" s="3"/>
      <c r="J75" s="3"/>
      <c r="K75" s="3"/>
      <c r="L75" s="3"/>
      <c r="M75" s="3"/>
      <c r="N75" s="3"/>
      <c r="O75" s="3"/>
      <c r="P75" s="3"/>
      <c r="Q75" s="3"/>
      <c r="R75" s="3"/>
      <c r="S75" s="3"/>
      <c r="T75" s="3"/>
      <c r="U75" s="3"/>
      <c r="V75" s="3"/>
      <c r="W75" s="3"/>
      <c r="X75" s="3"/>
      <c r="Y75" s="3"/>
      <c r="Z75" s="3"/>
      <c r="AA75" s="3"/>
    </row>
    <row r="76" spans="1:27"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x14ac:dyDescent="0.15">
      <c r="A79" s="3"/>
      <c r="B79" s="3"/>
      <c r="C79" s="371" t="s">
        <v>887</v>
      </c>
      <c r="D79" s="180"/>
      <c r="E79" s="180"/>
      <c r="F79" s="180"/>
      <c r="G79" s="180"/>
      <c r="H79" s="180"/>
      <c r="I79" s="180"/>
      <c r="J79" s="180"/>
      <c r="K79" s="180"/>
      <c r="L79" s="180"/>
      <c r="M79" s="181"/>
      <c r="N79" s="3"/>
      <c r="O79" s="3"/>
      <c r="P79" s="3"/>
      <c r="Q79" s="3"/>
      <c r="R79" s="3"/>
      <c r="S79" s="3"/>
      <c r="T79" s="3"/>
      <c r="U79" s="3"/>
      <c r="V79" s="3"/>
      <c r="W79" s="3"/>
      <c r="X79" s="3"/>
      <c r="Y79" s="3"/>
      <c r="Z79" s="3"/>
      <c r="AA79" s="3"/>
    </row>
    <row r="80" spans="1:27" x14ac:dyDescent="0.15">
      <c r="A80" s="3"/>
      <c r="B80" s="3"/>
      <c r="C80" s="177"/>
      <c r="D80" s="137"/>
      <c r="E80" s="137"/>
      <c r="F80" s="137"/>
      <c r="G80" s="137"/>
      <c r="H80" s="137"/>
      <c r="I80" s="137"/>
      <c r="J80" s="137"/>
      <c r="K80" s="137"/>
      <c r="L80" s="137"/>
      <c r="M80" s="182"/>
      <c r="N80" s="3"/>
      <c r="O80" s="3"/>
      <c r="P80" s="3"/>
      <c r="Q80" s="3"/>
      <c r="R80" s="3"/>
      <c r="S80" s="3"/>
      <c r="T80" s="3"/>
      <c r="U80" s="3"/>
      <c r="V80" s="3"/>
      <c r="W80" s="3"/>
      <c r="X80" s="3"/>
      <c r="Y80" s="3"/>
      <c r="Z80" s="3"/>
      <c r="AA80" s="3"/>
    </row>
    <row r="81" spans="1:27" x14ac:dyDescent="0.15">
      <c r="A81" s="3"/>
      <c r="B81" s="3"/>
      <c r="C81" s="177"/>
      <c r="D81" s="137"/>
      <c r="E81" s="137"/>
      <c r="F81" s="137"/>
      <c r="G81" s="137"/>
      <c r="H81" s="137"/>
      <c r="I81" s="137" t="s">
        <v>949</v>
      </c>
      <c r="J81" s="137"/>
      <c r="K81" s="137" t="s">
        <v>458</v>
      </c>
      <c r="L81" s="137"/>
      <c r="M81" s="182"/>
      <c r="N81" s="3"/>
      <c r="O81" s="3"/>
      <c r="P81" s="3"/>
      <c r="Q81" s="3"/>
      <c r="R81" s="3"/>
      <c r="S81" s="3"/>
      <c r="T81" s="3"/>
      <c r="U81" s="3"/>
      <c r="V81" s="3"/>
      <c r="W81" s="3"/>
      <c r="X81" s="3"/>
      <c r="Y81" s="3"/>
      <c r="Z81" s="3"/>
      <c r="AA81" s="3"/>
    </row>
    <row r="82" spans="1:27" x14ac:dyDescent="0.15">
      <c r="A82" s="3"/>
      <c r="B82" s="3"/>
      <c r="C82" s="177"/>
      <c r="D82" s="137"/>
      <c r="E82" s="137"/>
      <c r="F82" s="137"/>
      <c r="G82" s="137"/>
      <c r="H82" s="137"/>
      <c r="I82" s="137"/>
      <c r="J82" s="137"/>
      <c r="K82" s="137"/>
      <c r="L82" s="137"/>
      <c r="M82" s="182"/>
      <c r="N82" s="3"/>
      <c r="O82" s="3"/>
      <c r="P82" s="3"/>
      <c r="Q82" s="3"/>
      <c r="R82" s="3"/>
      <c r="S82" s="3"/>
      <c r="T82" s="3"/>
      <c r="U82" s="3"/>
      <c r="V82" s="3"/>
      <c r="W82" s="3"/>
      <c r="X82" s="3"/>
      <c r="Y82" s="3"/>
      <c r="Z82" s="3"/>
      <c r="AA82" s="3"/>
    </row>
    <row r="83" spans="1:27" x14ac:dyDescent="0.15">
      <c r="A83" s="3"/>
      <c r="B83" s="3"/>
      <c r="C83" s="177"/>
      <c r="D83" s="137"/>
      <c r="E83" s="137"/>
      <c r="F83" s="137"/>
      <c r="G83" s="137"/>
      <c r="H83" s="137"/>
      <c r="I83" s="137"/>
      <c r="J83" s="137"/>
      <c r="K83" s="137"/>
      <c r="L83" s="137"/>
      <c r="M83" s="182"/>
      <c r="N83" s="3"/>
      <c r="O83" s="3"/>
      <c r="P83" s="3"/>
      <c r="Q83" s="3"/>
      <c r="R83" s="3"/>
      <c r="S83" s="3"/>
      <c r="T83" s="3"/>
      <c r="U83" s="3"/>
      <c r="V83" s="3"/>
      <c r="W83" s="3"/>
      <c r="X83" s="3"/>
      <c r="Y83" s="3"/>
      <c r="Z83" s="3"/>
      <c r="AA83" s="3"/>
    </row>
    <row r="84" spans="1:27" x14ac:dyDescent="0.15">
      <c r="A84" s="3"/>
      <c r="B84" s="3"/>
      <c r="C84" s="177"/>
      <c r="D84" s="137"/>
      <c r="E84" s="137"/>
      <c r="F84" s="137"/>
      <c r="G84" s="137"/>
      <c r="H84" s="137"/>
      <c r="I84" s="137"/>
      <c r="J84" s="137"/>
      <c r="K84" s="137"/>
      <c r="L84" s="137"/>
      <c r="M84" s="182"/>
      <c r="N84" s="3"/>
      <c r="O84" s="3"/>
      <c r="P84" s="3"/>
      <c r="Q84" s="3"/>
      <c r="R84" s="3"/>
      <c r="S84" s="3"/>
      <c r="T84" s="3"/>
      <c r="U84" s="3"/>
      <c r="V84" s="3"/>
      <c r="W84" s="3"/>
      <c r="X84" s="3"/>
      <c r="Y84" s="3"/>
      <c r="Z84" s="3"/>
      <c r="AA84" s="3"/>
    </row>
    <row r="85" spans="1:27" x14ac:dyDescent="0.15">
      <c r="A85" s="3"/>
      <c r="B85" s="3"/>
      <c r="C85" s="177"/>
      <c r="D85" s="192" t="s">
        <v>940</v>
      </c>
      <c r="E85" s="137"/>
      <c r="F85" s="192" t="s">
        <v>941</v>
      </c>
      <c r="G85" s="137"/>
      <c r="H85" s="192" t="s">
        <v>942</v>
      </c>
      <c r="I85" s="137"/>
      <c r="J85" s="137"/>
      <c r="K85" s="137"/>
      <c r="L85" s="137"/>
      <c r="M85" s="182"/>
      <c r="N85" s="3"/>
      <c r="O85" s="3"/>
      <c r="P85" s="3"/>
      <c r="Q85" s="3"/>
      <c r="R85" s="3"/>
      <c r="S85" s="3"/>
      <c r="T85" s="3"/>
      <c r="U85" s="3"/>
      <c r="V85" s="3"/>
      <c r="W85" s="3"/>
      <c r="X85" s="3"/>
      <c r="Y85" s="3"/>
      <c r="Z85" s="3"/>
      <c r="AA85" s="3"/>
    </row>
    <row r="86" spans="1:27" x14ac:dyDescent="0.15">
      <c r="A86" s="3"/>
      <c r="B86" s="3"/>
      <c r="C86" s="177"/>
      <c r="D86" s="137"/>
      <c r="E86" s="137"/>
      <c r="F86" s="137"/>
      <c r="G86" s="137"/>
      <c r="H86" s="137"/>
      <c r="I86" s="137"/>
      <c r="J86" s="137"/>
      <c r="K86" s="137"/>
      <c r="L86" s="137"/>
      <c r="M86" s="182"/>
      <c r="N86" s="3"/>
      <c r="O86" s="3"/>
      <c r="P86" s="3"/>
      <c r="Q86" s="3"/>
      <c r="R86" s="3"/>
      <c r="S86" s="3"/>
      <c r="T86" s="3"/>
      <c r="U86" s="3"/>
      <c r="V86" s="3"/>
      <c r="W86" s="3"/>
      <c r="X86" s="3"/>
      <c r="Y86" s="3"/>
      <c r="Z86" s="3"/>
      <c r="AA86" s="3"/>
    </row>
    <row r="87" spans="1:27" x14ac:dyDescent="0.15">
      <c r="A87" s="3"/>
      <c r="B87" s="3"/>
      <c r="C87" s="177"/>
      <c r="D87" s="192" t="s">
        <v>943</v>
      </c>
      <c r="E87" s="137"/>
      <c r="F87" s="192" t="s">
        <v>944</v>
      </c>
      <c r="G87" s="137"/>
      <c r="H87" s="137"/>
      <c r="I87" s="137"/>
      <c r="J87" s="137"/>
      <c r="K87" s="137"/>
      <c r="L87" s="137"/>
      <c r="M87" s="182"/>
      <c r="N87" s="3"/>
      <c r="O87" s="3"/>
      <c r="P87" s="3"/>
      <c r="Q87" s="3"/>
      <c r="R87" s="3"/>
      <c r="S87" s="3"/>
      <c r="T87" s="3"/>
      <c r="U87" s="3"/>
      <c r="V87" s="3"/>
      <c r="W87" s="3"/>
      <c r="X87" s="3"/>
      <c r="Y87" s="3"/>
      <c r="Z87" s="3"/>
      <c r="AA87" s="3"/>
    </row>
    <row r="88" spans="1:27" x14ac:dyDescent="0.15">
      <c r="A88" s="3"/>
      <c r="B88" s="3"/>
      <c r="C88" s="177"/>
      <c r="D88" s="137"/>
      <c r="E88" s="137"/>
      <c r="F88" s="137"/>
      <c r="G88" s="137"/>
      <c r="H88" s="137"/>
      <c r="I88" s="137"/>
      <c r="J88" s="137"/>
      <c r="K88" s="137"/>
      <c r="L88" s="137"/>
      <c r="M88" s="182"/>
      <c r="N88" s="3"/>
      <c r="O88" s="3"/>
      <c r="P88" s="3"/>
      <c r="Q88" s="3"/>
      <c r="R88" s="3"/>
      <c r="S88" s="3"/>
      <c r="T88" s="3"/>
      <c r="U88" s="3"/>
      <c r="V88" s="3"/>
      <c r="W88" s="3"/>
      <c r="X88" s="3"/>
      <c r="Y88" s="3"/>
      <c r="Z88" s="3"/>
      <c r="AA88" s="3"/>
    </row>
    <row r="89" spans="1:27" x14ac:dyDescent="0.15">
      <c r="A89" s="3"/>
      <c r="B89" s="3"/>
      <c r="C89" s="177"/>
      <c r="D89" s="137"/>
      <c r="E89" s="137"/>
      <c r="F89" s="137"/>
      <c r="G89" s="137"/>
      <c r="H89" s="137"/>
      <c r="I89" s="137"/>
      <c r="J89" s="137"/>
      <c r="K89" s="137"/>
      <c r="L89" s="137"/>
      <c r="M89" s="182"/>
      <c r="N89" s="3"/>
      <c r="O89" s="3"/>
      <c r="P89" s="3"/>
      <c r="Q89" s="3"/>
      <c r="R89" s="3"/>
      <c r="S89" s="3"/>
      <c r="T89" s="3"/>
      <c r="U89" s="3"/>
      <c r="V89" s="3"/>
      <c r="W89" s="3"/>
      <c r="X89" s="3"/>
      <c r="Y89" s="3"/>
      <c r="Z89" s="3"/>
      <c r="AA89" s="3"/>
    </row>
    <row r="90" spans="1:27" x14ac:dyDescent="0.15">
      <c r="A90" s="3"/>
      <c r="B90" s="3"/>
      <c r="C90" s="177"/>
      <c r="D90" s="137"/>
      <c r="E90" s="137"/>
      <c r="F90" s="137"/>
      <c r="G90" s="137"/>
      <c r="H90" s="137"/>
      <c r="I90" s="137"/>
      <c r="J90" s="137"/>
      <c r="K90" s="137"/>
      <c r="L90" s="137"/>
      <c r="M90" s="182"/>
      <c r="N90" s="3"/>
      <c r="O90" s="3"/>
      <c r="P90" s="3"/>
      <c r="Q90" s="3"/>
      <c r="R90" s="3"/>
      <c r="S90" s="3"/>
      <c r="T90" s="3"/>
      <c r="U90" s="3"/>
      <c r="V90" s="3"/>
      <c r="W90" s="3"/>
      <c r="X90" s="3"/>
      <c r="Y90" s="3"/>
      <c r="Z90" s="3"/>
      <c r="AA90" s="3"/>
    </row>
    <row r="91" spans="1:27" x14ac:dyDescent="0.15">
      <c r="A91" s="3"/>
      <c r="B91" s="3"/>
      <c r="C91" s="177"/>
      <c r="D91" s="137" t="s">
        <v>938</v>
      </c>
      <c r="E91" s="137"/>
      <c r="F91" s="137"/>
      <c r="G91" s="137"/>
      <c r="H91" s="137"/>
      <c r="I91" s="137"/>
      <c r="J91" s="137"/>
      <c r="K91" s="137"/>
      <c r="L91" s="137"/>
      <c r="M91" s="182"/>
      <c r="N91" s="3"/>
      <c r="O91" s="3"/>
      <c r="P91" s="3"/>
      <c r="Q91" s="3"/>
      <c r="R91" s="3"/>
      <c r="S91" s="3"/>
      <c r="T91" s="3"/>
      <c r="U91" s="3"/>
      <c r="V91" s="3"/>
      <c r="W91" s="3"/>
      <c r="X91" s="3"/>
      <c r="Y91" s="3"/>
      <c r="Z91" s="3"/>
      <c r="AA91" s="3"/>
    </row>
    <row r="92" spans="1:27" x14ac:dyDescent="0.15">
      <c r="A92" s="3"/>
      <c r="B92" s="3"/>
      <c r="C92" s="177"/>
      <c r="D92" s="137"/>
      <c r="E92" s="137"/>
      <c r="F92" s="137"/>
      <c r="G92" s="137"/>
      <c r="H92" s="137"/>
      <c r="I92" s="137"/>
      <c r="J92" s="137"/>
      <c r="K92" s="137"/>
      <c r="L92" s="137"/>
      <c r="M92" s="182"/>
      <c r="N92" s="3"/>
      <c r="O92" s="3"/>
      <c r="P92" s="3"/>
      <c r="Q92" s="3"/>
      <c r="R92" s="3"/>
      <c r="S92" s="3"/>
      <c r="T92" s="3"/>
      <c r="U92" s="3"/>
      <c r="V92" s="3"/>
      <c r="W92" s="3"/>
      <c r="X92" s="3"/>
      <c r="Y92" s="3"/>
      <c r="Z92" s="3"/>
      <c r="AA92" s="3"/>
    </row>
    <row r="93" spans="1:27" x14ac:dyDescent="0.15">
      <c r="A93" s="3"/>
      <c r="B93" s="3"/>
      <c r="C93" s="177"/>
      <c r="D93" s="372" t="s">
        <v>459</v>
      </c>
      <c r="E93" s="137"/>
      <c r="F93" s="137"/>
      <c r="G93" s="137"/>
      <c r="H93" s="137"/>
      <c r="I93" s="137"/>
      <c r="J93" s="137"/>
      <c r="K93" s="137"/>
      <c r="L93" s="137"/>
      <c r="M93" s="182"/>
      <c r="N93" s="3"/>
      <c r="O93" s="3"/>
      <c r="P93" s="3"/>
      <c r="Q93" s="3"/>
      <c r="R93" s="3"/>
      <c r="S93" s="3"/>
      <c r="T93" s="3"/>
      <c r="U93" s="3"/>
      <c r="V93" s="3"/>
      <c r="W93" s="3"/>
      <c r="X93" s="3"/>
      <c r="Y93" s="3"/>
      <c r="Z93" s="3"/>
      <c r="AA93" s="3"/>
    </row>
    <row r="94" spans="1:27" x14ac:dyDescent="0.15">
      <c r="A94" s="3"/>
      <c r="B94" s="3"/>
      <c r="C94" s="177"/>
      <c r="D94" s="137" t="s">
        <v>939</v>
      </c>
      <c r="E94" s="137"/>
      <c r="F94" s="137"/>
      <c r="G94" s="373"/>
      <c r="H94" s="137"/>
      <c r="I94" s="137"/>
      <c r="J94" s="137"/>
      <c r="K94" s="137"/>
      <c r="L94" s="137"/>
      <c r="M94" s="182"/>
      <c r="N94" s="3"/>
      <c r="O94" s="3"/>
      <c r="P94" s="3"/>
      <c r="Q94" s="3"/>
      <c r="R94" s="3"/>
      <c r="S94" s="3"/>
      <c r="T94" s="3"/>
      <c r="U94" s="3"/>
      <c r="V94" s="3"/>
      <c r="W94" s="3"/>
      <c r="X94" s="3"/>
      <c r="Y94" s="3"/>
      <c r="Z94" s="3"/>
      <c r="AA94" s="3"/>
    </row>
    <row r="95" spans="1:27" x14ac:dyDescent="0.15">
      <c r="A95" s="3"/>
      <c r="B95" s="3"/>
      <c r="C95" s="177"/>
      <c r="D95" s="374" t="s">
        <v>945</v>
      </c>
      <c r="E95" s="137"/>
      <c r="F95" s="137"/>
      <c r="G95" s="137"/>
      <c r="H95" s="137"/>
      <c r="I95" s="137"/>
      <c r="J95" s="137"/>
      <c r="K95" s="137"/>
      <c r="L95" s="137"/>
      <c r="M95" s="182"/>
      <c r="N95" s="3"/>
      <c r="O95" s="3"/>
      <c r="P95" s="3"/>
      <c r="Q95" s="3"/>
      <c r="R95" s="3"/>
      <c r="S95" s="3"/>
      <c r="T95" s="3"/>
      <c r="U95" s="3"/>
      <c r="V95" s="3"/>
      <c r="W95" s="3"/>
      <c r="X95" s="3"/>
      <c r="Y95" s="3"/>
      <c r="Z95" s="3"/>
      <c r="AA95" s="3"/>
    </row>
    <row r="96" spans="1:27" x14ac:dyDescent="0.15">
      <c r="A96" s="3"/>
      <c r="B96" s="3"/>
      <c r="C96" s="177"/>
      <c r="D96" s="374" t="s">
        <v>946</v>
      </c>
      <c r="E96" s="137"/>
      <c r="F96" s="137"/>
      <c r="G96" s="137"/>
      <c r="H96" s="137"/>
      <c r="I96" s="137"/>
      <c r="J96" s="137"/>
      <c r="K96" s="137"/>
      <c r="L96" s="137"/>
      <c r="M96" s="182"/>
      <c r="N96" s="3"/>
      <c r="O96" s="3"/>
      <c r="P96" s="3"/>
      <c r="Q96" s="3"/>
      <c r="R96" s="3"/>
      <c r="S96" s="3"/>
      <c r="T96" s="3"/>
      <c r="U96" s="3"/>
      <c r="V96" s="3"/>
      <c r="W96" s="3"/>
      <c r="X96" s="3"/>
      <c r="Y96" s="3"/>
      <c r="Z96" s="3"/>
      <c r="AA96" s="3"/>
    </row>
    <row r="97" spans="1:27" x14ac:dyDescent="0.15">
      <c r="A97" s="3"/>
      <c r="B97" s="3"/>
      <c r="C97" s="177"/>
      <c r="D97" s="374" t="s">
        <v>947</v>
      </c>
      <c r="E97" s="137"/>
      <c r="F97" s="137"/>
      <c r="G97" s="137"/>
      <c r="H97" s="137"/>
      <c r="I97" s="137"/>
      <c r="J97" s="137"/>
      <c r="K97" s="137"/>
      <c r="L97" s="137"/>
      <c r="M97" s="182"/>
      <c r="N97" s="3"/>
      <c r="O97" s="3"/>
      <c r="P97" s="3"/>
      <c r="Q97" s="3"/>
      <c r="R97" s="3"/>
      <c r="S97" s="3"/>
      <c r="T97" s="3"/>
      <c r="U97" s="3"/>
      <c r="V97" s="3"/>
      <c r="W97" s="3"/>
      <c r="X97" s="3"/>
      <c r="Y97" s="3"/>
      <c r="Z97" s="3"/>
      <c r="AA97" s="3"/>
    </row>
    <row r="98" spans="1:27" x14ac:dyDescent="0.15">
      <c r="A98" s="3"/>
      <c r="B98" s="3"/>
      <c r="C98" s="177"/>
      <c r="D98" s="374" t="s">
        <v>460</v>
      </c>
      <c r="E98" s="137"/>
      <c r="F98" s="137"/>
      <c r="G98" s="137"/>
      <c r="H98" s="137"/>
      <c r="I98" s="137"/>
      <c r="J98" s="137"/>
      <c r="K98" s="137"/>
      <c r="L98" s="137"/>
      <c r="M98" s="182"/>
      <c r="N98" s="3"/>
      <c r="O98" s="3"/>
      <c r="P98" s="3"/>
      <c r="Q98" s="3"/>
      <c r="R98" s="3"/>
      <c r="S98" s="3"/>
      <c r="T98" s="3"/>
      <c r="U98" s="3"/>
      <c r="V98" s="3"/>
      <c r="W98" s="3"/>
      <c r="X98" s="3"/>
      <c r="Y98" s="3"/>
      <c r="Z98" s="3"/>
      <c r="AA98" s="3"/>
    </row>
    <row r="99" spans="1:27" x14ac:dyDescent="0.15">
      <c r="A99" s="3"/>
      <c r="B99" s="3"/>
      <c r="C99" s="177"/>
      <c r="D99" s="374" t="s">
        <v>963</v>
      </c>
      <c r="E99" s="137"/>
      <c r="F99" s="137"/>
      <c r="G99" s="137"/>
      <c r="H99" s="137"/>
      <c r="I99" s="239" t="s">
        <v>868</v>
      </c>
      <c r="J99" s="137" t="s">
        <v>512</v>
      </c>
      <c r="K99" s="137"/>
      <c r="L99" s="137"/>
      <c r="M99" s="182"/>
      <c r="N99" s="3"/>
      <c r="O99" s="3"/>
      <c r="P99" s="3"/>
      <c r="Q99" s="3"/>
      <c r="R99" s="3"/>
      <c r="S99" s="3"/>
      <c r="T99" s="3"/>
      <c r="U99" s="3"/>
      <c r="V99" s="3"/>
      <c r="W99" s="3"/>
      <c r="X99" s="3"/>
      <c r="Y99" s="3"/>
      <c r="Z99" s="3"/>
      <c r="AA99" s="3"/>
    </row>
    <row r="100" spans="1:27" x14ac:dyDescent="0.15">
      <c r="A100" s="3"/>
      <c r="B100" s="3"/>
      <c r="C100" s="177"/>
      <c r="D100" s="375" t="s">
        <v>948</v>
      </c>
      <c r="E100" s="137"/>
      <c r="F100" s="137"/>
      <c r="G100" s="137"/>
      <c r="H100" s="137"/>
      <c r="I100" s="137"/>
      <c r="J100" s="137"/>
      <c r="K100" s="137"/>
      <c r="L100" s="137"/>
      <c r="M100" s="182"/>
      <c r="N100" s="3"/>
      <c r="O100" s="3"/>
      <c r="P100" s="3"/>
      <c r="Q100" s="3"/>
      <c r="R100" s="3"/>
      <c r="S100" s="3"/>
      <c r="T100" s="3"/>
      <c r="U100" s="3"/>
      <c r="V100" s="3"/>
      <c r="W100" s="3"/>
      <c r="X100" s="3"/>
      <c r="Y100" s="3"/>
      <c r="Z100" s="3"/>
      <c r="AA100" s="3"/>
    </row>
    <row r="101" spans="1:27" x14ac:dyDescent="0.15">
      <c r="A101" s="3"/>
      <c r="B101" s="3"/>
      <c r="C101" s="177"/>
      <c r="D101" s="137" t="s">
        <v>939</v>
      </c>
      <c r="E101" s="137"/>
      <c r="F101" s="137"/>
      <c r="G101" s="137"/>
      <c r="H101" s="137"/>
      <c r="I101" s="137"/>
      <c r="J101" s="137"/>
      <c r="K101" s="137"/>
      <c r="L101" s="137"/>
      <c r="M101" s="182"/>
      <c r="N101" s="3"/>
      <c r="O101" s="3"/>
      <c r="P101" s="3"/>
      <c r="Q101" s="3"/>
      <c r="R101" s="3"/>
      <c r="S101" s="3"/>
      <c r="T101" s="3"/>
      <c r="U101" s="3"/>
      <c r="V101" s="3"/>
      <c r="W101" s="3"/>
      <c r="X101" s="3"/>
      <c r="Y101" s="3"/>
      <c r="Z101" s="3"/>
      <c r="AA101" s="3"/>
    </row>
    <row r="102" spans="1:27" x14ac:dyDescent="0.15">
      <c r="A102" s="3"/>
      <c r="B102" s="3"/>
      <c r="C102" s="177"/>
      <c r="D102" s="137"/>
      <c r="E102" s="137" t="s">
        <v>958</v>
      </c>
      <c r="F102" s="137"/>
      <c r="G102" s="137"/>
      <c r="H102" s="137"/>
      <c r="I102" s="137"/>
      <c r="J102" s="137"/>
      <c r="K102" s="137"/>
      <c r="L102" s="137"/>
      <c r="M102" s="182"/>
      <c r="N102" s="3"/>
      <c r="O102" s="3"/>
      <c r="P102" s="3"/>
      <c r="Q102" s="3"/>
      <c r="R102" s="3"/>
      <c r="S102" s="3"/>
      <c r="T102" s="3"/>
      <c r="U102" s="3"/>
      <c r="V102" s="3"/>
      <c r="W102" s="3"/>
      <c r="X102" s="3"/>
      <c r="Y102" s="3"/>
      <c r="Z102" s="3"/>
      <c r="AA102" s="3"/>
    </row>
    <row r="103" spans="1:27" x14ac:dyDescent="0.15">
      <c r="A103" s="3"/>
      <c r="B103" s="3"/>
      <c r="C103" s="177"/>
      <c r="D103" s="137"/>
      <c r="E103" s="137" t="s">
        <v>959</v>
      </c>
      <c r="F103" s="137"/>
      <c r="G103" s="137"/>
      <c r="H103" s="137"/>
      <c r="I103" s="137"/>
      <c r="J103" s="137"/>
      <c r="K103" s="137"/>
      <c r="L103" s="137"/>
      <c r="M103" s="182"/>
      <c r="N103" s="3"/>
      <c r="O103" s="3"/>
      <c r="P103" s="3"/>
      <c r="Q103" s="3"/>
      <c r="R103" s="3"/>
      <c r="S103" s="3"/>
      <c r="T103" s="3"/>
      <c r="U103" s="3"/>
      <c r="V103" s="3"/>
      <c r="W103" s="3"/>
      <c r="X103" s="3"/>
      <c r="Y103" s="3"/>
      <c r="Z103" s="3"/>
      <c r="AA103" s="3"/>
    </row>
    <row r="104" spans="1:27" x14ac:dyDescent="0.15">
      <c r="A104" s="3"/>
      <c r="B104" s="3"/>
      <c r="C104" s="177"/>
      <c r="D104" s="137"/>
      <c r="E104" s="324" t="s">
        <v>960</v>
      </c>
      <c r="F104" s="137"/>
      <c r="G104" s="137"/>
      <c r="H104" s="137"/>
      <c r="I104" s="137"/>
      <c r="J104" s="137"/>
      <c r="K104" s="137"/>
      <c r="L104" s="137"/>
      <c r="M104" s="182"/>
      <c r="N104" s="3"/>
      <c r="O104" s="3"/>
      <c r="P104" s="3"/>
      <c r="Q104" s="3"/>
      <c r="R104" s="3"/>
      <c r="S104" s="3"/>
      <c r="T104" s="3"/>
      <c r="U104" s="3"/>
      <c r="V104" s="3"/>
      <c r="W104" s="3"/>
      <c r="X104" s="3"/>
      <c r="Y104" s="3"/>
      <c r="Z104" s="3"/>
      <c r="AA104" s="3"/>
    </row>
    <row r="105" spans="1:27" x14ac:dyDescent="0.15">
      <c r="A105" s="3"/>
      <c r="B105" s="3"/>
      <c r="C105" s="177"/>
      <c r="D105" s="137"/>
      <c r="E105" s="137"/>
      <c r="F105" s="137"/>
      <c r="G105" s="137"/>
      <c r="H105" s="137"/>
      <c r="I105" s="137"/>
      <c r="J105" s="137"/>
      <c r="K105" s="137"/>
      <c r="L105" s="137"/>
      <c r="M105" s="182"/>
      <c r="N105" s="3"/>
      <c r="O105" s="3"/>
      <c r="P105" s="3"/>
      <c r="Q105" s="3"/>
      <c r="R105" s="3"/>
      <c r="S105" s="3"/>
      <c r="T105" s="3"/>
      <c r="U105" s="3"/>
      <c r="V105" s="3"/>
      <c r="W105" s="3"/>
      <c r="X105" s="3"/>
      <c r="Y105" s="3"/>
      <c r="Z105" s="3"/>
      <c r="AA105" s="3"/>
    </row>
    <row r="106" spans="1:27" x14ac:dyDescent="0.15">
      <c r="A106" s="3"/>
      <c r="B106" s="3"/>
      <c r="C106" s="177"/>
      <c r="D106" s="137"/>
      <c r="E106" s="137"/>
      <c r="F106" s="137"/>
      <c r="G106" s="137"/>
      <c r="H106" s="137"/>
      <c r="I106" s="137"/>
      <c r="J106" s="137"/>
      <c r="K106" s="137"/>
      <c r="L106" s="137"/>
      <c r="M106" s="182"/>
      <c r="N106" s="3"/>
      <c r="O106" s="3"/>
      <c r="P106" s="3"/>
      <c r="Q106" s="3"/>
      <c r="R106" s="3"/>
      <c r="S106" s="3"/>
      <c r="T106" s="3"/>
      <c r="U106" s="3"/>
      <c r="V106" s="3"/>
      <c r="W106" s="3"/>
      <c r="X106" s="3"/>
      <c r="Y106" s="3"/>
      <c r="Z106" s="3"/>
      <c r="AA106" s="3"/>
    </row>
    <row r="107" spans="1:27" x14ac:dyDescent="0.15">
      <c r="A107" s="3"/>
      <c r="B107" s="3"/>
      <c r="C107" s="177"/>
      <c r="D107" s="137" t="s">
        <v>964</v>
      </c>
      <c r="E107" s="137"/>
      <c r="F107" s="137"/>
      <c r="G107" s="137"/>
      <c r="H107" s="239" t="s">
        <v>868</v>
      </c>
      <c r="I107" s="137"/>
      <c r="J107" s="137"/>
      <c r="K107" s="137"/>
      <c r="L107" s="137"/>
      <c r="M107" s="182"/>
      <c r="N107" s="3"/>
      <c r="O107" s="3"/>
      <c r="P107" s="3"/>
      <c r="Q107" s="3"/>
      <c r="R107" s="3"/>
      <c r="S107" s="3"/>
      <c r="T107" s="3"/>
      <c r="U107" s="3"/>
      <c r="V107" s="3"/>
      <c r="W107" s="3"/>
      <c r="X107" s="3"/>
      <c r="Y107" s="3"/>
      <c r="Z107" s="3"/>
      <c r="AA107" s="3"/>
    </row>
    <row r="108" spans="1:27" x14ac:dyDescent="0.15">
      <c r="A108" s="3"/>
      <c r="B108" s="3"/>
      <c r="C108" s="177"/>
      <c r="D108" s="137"/>
      <c r="E108" s="137"/>
      <c r="F108" s="137"/>
      <c r="G108" s="137"/>
      <c r="H108" s="137"/>
      <c r="I108" s="137"/>
      <c r="J108" s="137"/>
      <c r="K108" s="137"/>
      <c r="L108" s="137"/>
      <c r="M108" s="182"/>
      <c r="N108" s="3"/>
      <c r="O108" s="3"/>
      <c r="P108" s="3"/>
      <c r="Q108" s="3"/>
      <c r="R108" s="3"/>
      <c r="S108" s="3"/>
      <c r="T108" s="3"/>
      <c r="U108" s="3"/>
      <c r="V108" s="3"/>
      <c r="W108" s="3"/>
      <c r="X108" s="3"/>
      <c r="Y108" s="3"/>
      <c r="Z108" s="3"/>
      <c r="AA108" s="3"/>
    </row>
    <row r="109" spans="1:27" x14ac:dyDescent="0.15">
      <c r="A109" s="3"/>
      <c r="B109" s="3"/>
      <c r="C109" s="177"/>
      <c r="D109" s="138" t="s">
        <v>512</v>
      </c>
      <c r="E109" s="137" t="s">
        <v>918</v>
      </c>
      <c r="F109" s="137"/>
      <c r="G109" s="137"/>
      <c r="H109" s="137"/>
      <c r="I109" s="137"/>
      <c r="J109" s="349">
        <v>2.5</v>
      </c>
      <c r="K109" s="137" t="s">
        <v>552</v>
      </c>
      <c r="L109" s="137"/>
      <c r="M109" s="182"/>
      <c r="N109" s="3"/>
      <c r="O109" s="3"/>
      <c r="P109" s="3"/>
      <c r="Q109" s="3"/>
      <c r="R109" s="3"/>
      <c r="S109" s="3"/>
      <c r="T109" s="3"/>
      <c r="U109" s="3"/>
      <c r="V109" s="3"/>
      <c r="W109" s="3"/>
      <c r="X109" s="3"/>
      <c r="Y109" s="3"/>
      <c r="Z109" s="3"/>
      <c r="AA109" s="3"/>
    </row>
    <row r="110" spans="1:27" x14ac:dyDescent="0.15">
      <c r="A110" s="3"/>
      <c r="B110" s="3"/>
      <c r="C110" s="177"/>
      <c r="D110" s="137"/>
      <c r="E110" s="137" t="s">
        <v>919</v>
      </c>
      <c r="F110" s="137"/>
      <c r="G110" s="137"/>
      <c r="H110" s="137"/>
      <c r="I110" s="137"/>
      <c r="J110" s="349">
        <v>0.3</v>
      </c>
      <c r="K110" s="137" t="s">
        <v>552</v>
      </c>
      <c r="L110" s="137"/>
      <c r="M110" s="182"/>
      <c r="N110" s="3"/>
      <c r="O110" s="3"/>
      <c r="P110" s="3"/>
      <c r="Q110" s="3"/>
      <c r="R110" s="3"/>
      <c r="S110" s="3"/>
      <c r="T110" s="3"/>
      <c r="U110" s="3"/>
      <c r="V110" s="3"/>
      <c r="W110" s="3"/>
      <c r="X110" s="3"/>
      <c r="Y110" s="3"/>
      <c r="Z110" s="3"/>
      <c r="AA110" s="3"/>
    </row>
    <row r="111" spans="1:27" x14ac:dyDescent="0.15">
      <c r="A111" s="3"/>
      <c r="B111" s="3"/>
      <c r="C111" s="177"/>
      <c r="D111" s="137"/>
      <c r="E111" s="137" t="s">
        <v>920</v>
      </c>
      <c r="F111" s="137"/>
      <c r="G111" s="137"/>
      <c r="H111" s="137"/>
      <c r="I111" s="137"/>
      <c r="J111" s="349">
        <v>0.3</v>
      </c>
      <c r="K111" s="137" t="s">
        <v>552</v>
      </c>
      <c r="L111" s="137"/>
      <c r="M111" s="182"/>
      <c r="N111" s="3"/>
      <c r="O111" s="3"/>
      <c r="P111" s="3"/>
      <c r="Q111" s="3"/>
      <c r="R111" s="3"/>
      <c r="S111" s="3"/>
      <c r="T111" s="3"/>
      <c r="U111" s="3"/>
      <c r="V111" s="3"/>
      <c r="W111" s="3"/>
      <c r="X111" s="3"/>
      <c r="Y111" s="3"/>
      <c r="Z111" s="3"/>
      <c r="AA111" s="3"/>
    </row>
    <row r="112" spans="1:27" x14ac:dyDescent="0.15">
      <c r="A112" s="3"/>
      <c r="B112" s="3"/>
      <c r="C112" s="177"/>
      <c r="D112" s="137"/>
      <c r="E112" s="137"/>
      <c r="F112" s="137"/>
      <c r="G112" s="137"/>
      <c r="H112" s="137"/>
      <c r="I112" s="137"/>
      <c r="J112" s="329"/>
      <c r="K112" s="137"/>
      <c r="L112" s="137"/>
      <c r="M112" s="182"/>
      <c r="N112" s="3"/>
      <c r="O112" s="3"/>
      <c r="P112" s="3"/>
      <c r="Q112" s="3"/>
      <c r="R112" s="3"/>
      <c r="S112" s="3"/>
      <c r="T112" s="3"/>
      <c r="U112" s="3"/>
      <c r="V112" s="3"/>
      <c r="W112" s="3"/>
      <c r="X112" s="3"/>
      <c r="Y112" s="3"/>
      <c r="Z112" s="3"/>
      <c r="AA112" s="3"/>
    </row>
    <row r="113" spans="1:27" x14ac:dyDescent="0.15">
      <c r="A113" s="3"/>
      <c r="B113" s="3"/>
      <c r="C113" s="177"/>
      <c r="D113" s="137"/>
      <c r="E113" s="137" t="s">
        <v>901</v>
      </c>
      <c r="F113" s="137"/>
      <c r="G113" s="137"/>
      <c r="H113" s="137"/>
      <c r="I113" s="137"/>
      <c r="J113" s="284" t="s">
        <v>464</v>
      </c>
      <c r="K113" s="285"/>
      <c r="L113" s="137"/>
      <c r="M113" s="182"/>
      <c r="N113" s="3"/>
      <c r="O113" s="3"/>
      <c r="P113" s="3"/>
      <c r="Q113" s="3"/>
      <c r="R113" s="3"/>
      <c r="S113" s="3"/>
      <c r="T113" s="3"/>
      <c r="U113" s="3"/>
      <c r="V113" s="3"/>
      <c r="W113" s="3"/>
      <c r="X113" s="3"/>
      <c r="Y113" s="3"/>
      <c r="Z113" s="3"/>
      <c r="AA113" s="3"/>
    </row>
    <row r="114" spans="1:27" x14ac:dyDescent="0.15">
      <c r="A114" s="3"/>
      <c r="B114" s="3"/>
      <c r="C114" s="177"/>
      <c r="D114" s="137"/>
      <c r="E114" s="137" t="s">
        <v>906</v>
      </c>
      <c r="F114" s="137"/>
      <c r="G114" s="137"/>
      <c r="H114" s="717">
        <v>9.1999999999999998E-2</v>
      </c>
      <c r="I114" s="137" t="s">
        <v>966</v>
      </c>
      <c r="J114" s="714">
        <f>Frequency!M16</f>
        <v>436.5</v>
      </c>
      <c r="K114" s="137" t="s">
        <v>551</v>
      </c>
      <c r="L114" s="137"/>
      <c r="M114" s="182"/>
      <c r="N114" s="3"/>
      <c r="O114" s="3"/>
      <c r="P114" s="3"/>
      <c r="Q114" s="3"/>
      <c r="R114" s="3"/>
      <c r="S114" s="3"/>
      <c r="T114" s="3"/>
      <c r="U114" s="3"/>
      <c r="V114" s="3"/>
      <c r="W114" s="3"/>
      <c r="X114" s="3"/>
      <c r="Y114" s="3"/>
      <c r="Z114" s="3"/>
      <c r="AA114" s="3"/>
    </row>
    <row r="115" spans="1:27" x14ac:dyDescent="0.15">
      <c r="A115" s="3"/>
      <c r="B115" s="3"/>
      <c r="C115" s="177"/>
      <c r="D115" s="137"/>
      <c r="E115" s="137"/>
      <c r="F115" s="137"/>
      <c r="G115" s="137"/>
      <c r="H115" s="137"/>
      <c r="I115" s="137"/>
      <c r="J115" s="137"/>
      <c r="K115" s="137"/>
      <c r="L115" s="137"/>
      <c r="M115" s="182"/>
      <c r="N115" s="3"/>
      <c r="O115" s="3"/>
      <c r="P115" s="3"/>
      <c r="Q115" s="3"/>
      <c r="R115" s="3"/>
      <c r="S115" s="3"/>
      <c r="T115" s="3"/>
      <c r="U115" s="3"/>
      <c r="V115" s="3"/>
      <c r="W115" s="3"/>
      <c r="X115" s="3"/>
      <c r="Y115" s="3"/>
      <c r="Z115" s="3"/>
      <c r="AA115" s="3"/>
    </row>
    <row r="116" spans="1:27" x14ac:dyDescent="0.15">
      <c r="A116" s="3"/>
      <c r="B116" s="3"/>
      <c r="C116" s="177"/>
      <c r="D116" s="137"/>
      <c r="E116" s="137" t="s">
        <v>970</v>
      </c>
      <c r="F116" s="137"/>
      <c r="G116" s="137"/>
      <c r="H116" s="137"/>
      <c r="I116" s="137" t="s">
        <v>967</v>
      </c>
      <c r="J116" s="137">
        <f>J109*H114</f>
        <v>0.22999999999999998</v>
      </c>
      <c r="K116" s="137" t="s">
        <v>554</v>
      </c>
      <c r="L116" s="137"/>
      <c r="M116" s="182"/>
      <c r="N116" s="3"/>
      <c r="O116" s="3"/>
      <c r="P116" s="3"/>
      <c r="Q116" s="3"/>
      <c r="R116" s="3"/>
      <c r="S116" s="3"/>
      <c r="T116" s="3"/>
      <c r="U116" s="3"/>
      <c r="V116" s="3"/>
      <c r="W116" s="3"/>
      <c r="X116" s="3"/>
      <c r="Y116" s="3"/>
      <c r="Z116" s="3"/>
      <c r="AA116" s="3"/>
    </row>
    <row r="117" spans="1:27" x14ac:dyDescent="0.15">
      <c r="A117" s="3"/>
      <c r="B117" s="3"/>
      <c r="C117" s="177"/>
      <c r="D117" s="137"/>
      <c r="E117" s="137" t="s">
        <v>974</v>
      </c>
      <c r="F117" s="137"/>
      <c r="G117" s="137"/>
      <c r="H117" s="137"/>
      <c r="I117" s="137" t="s">
        <v>968</v>
      </c>
      <c r="J117" s="137">
        <f>J110*H114</f>
        <v>2.76E-2</v>
      </c>
      <c r="K117" s="137" t="s">
        <v>554</v>
      </c>
      <c r="L117" s="137"/>
      <c r="M117" s="182"/>
      <c r="N117" s="3"/>
      <c r="O117" s="3"/>
      <c r="P117" s="3"/>
      <c r="Q117" s="3"/>
      <c r="R117" s="3"/>
      <c r="S117" s="3"/>
      <c r="T117" s="3"/>
      <c r="U117" s="3"/>
      <c r="V117" s="3"/>
      <c r="W117" s="3"/>
      <c r="X117" s="3"/>
      <c r="Y117" s="3"/>
      <c r="Z117" s="3"/>
      <c r="AA117" s="3"/>
    </row>
    <row r="118" spans="1:27" x14ac:dyDescent="0.15">
      <c r="A118" s="3"/>
      <c r="B118" s="3"/>
      <c r="C118" s="177"/>
      <c r="D118" s="137"/>
      <c r="E118" s="137" t="s">
        <v>975</v>
      </c>
      <c r="F118" s="137"/>
      <c r="G118" s="137"/>
      <c r="H118" s="137"/>
      <c r="I118" s="137" t="s">
        <v>969</v>
      </c>
      <c r="J118" s="137">
        <f>J111*H114</f>
        <v>2.76E-2</v>
      </c>
      <c r="K118" s="137" t="s">
        <v>554</v>
      </c>
      <c r="L118" s="137"/>
      <c r="M118" s="182"/>
      <c r="N118" s="3"/>
      <c r="O118" s="3"/>
      <c r="P118" s="3"/>
      <c r="Q118" s="3"/>
      <c r="R118" s="3"/>
      <c r="S118" s="3"/>
      <c r="T118" s="3"/>
      <c r="U118" s="3"/>
      <c r="V118" s="3"/>
      <c r="W118" s="3"/>
      <c r="X118" s="3"/>
      <c r="Y118" s="3"/>
      <c r="Z118" s="3"/>
      <c r="AA118" s="3"/>
    </row>
    <row r="119" spans="1:27" x14ac:dyDescent="0.15">
      <c r="A119" s="3"/>
      <c r="B119" s="3"/>
      <c r="C119" s="177"/>
      <c r="D119" s="137"/>
      <c r="E119" s="137" t="s">
        <v>976</v>
      </c>
      <c r="F119" s="137"/>
      <c r="G119" s="137"/>
      <c r="H119" s="137"/>
      <c r="I119" s="137" t="s">
        <v>977</v>
      </c>
      <c r="J119" s="350">
        <v>0</v>
      </c>
      <c r="K119" s="137" t="s">
        <v>554</v>
      </c>
      <c r="L119" s="137"/>
      <c r="M119" s="182"/>
      <c r="N119" s="3"/>
      <c r="O119" s="3"/>
      <c r="P119" s="3"/>
      <c r="Q119" s="3"/>
      <c r="R119" s="3"/>
      <c r="S119" s="3"/>
      <c r="T119" s="3"/>
      <c r="U119" s="3"/>
      <c r="V119" s="3"/>
      <c r="W119" s="3"/>
      <c r="X119" s="3"/>
      <c r="Y119" s="3"/>
      <c r="Z119" s="3"/>
      <c r="AA119" s="3"/>
    </row>
    <row r="120" spans="1:27" x14ac:dyDescent="0.15">
      <c r="A120" s="3"/>
      <c r="B120" s="3"/>
      <c r="C120" s="177"/>
      <c r="D120" s="137"/>
      <c r="E120" s="137" t="s">
        <v>978</v>
      </c>
      <c r="F120" s="137"/>
      <c r="G120" s="137"/>
      <c r="H120" s="137"/>
      <c r="I120" s="137" t="s">
        <v>979</v>
      </c>
      <c r="J120" s="350">
        <v>0.5</v>
      </c>
      <c r="K120" s="137" t="s">
        <v>554</v>
      </c>
      <c r="L120" s="137"/>
      <c r="M120" s="182"/>
      <c r="N120" s="3"/>
      <c r="O120" s="365" t="s">
        <v>477</v>
      </c>
      <c r="P120" s="381"/>
      <c r="Q120" s="291"/>
      <c r="R120" s="291"/>
      <c r="S120" s="291"/>
      <c r="T120" s="291"/>
      <c r="U120" s="291"/>
      <c r="V120" s="292"/>
      <c r="W120" s="3"/>
      <c r="X120" s="3"/>
      <c r="Y120" s="3"/>
      <c r="Z120" s="3"/>
      <c r="AA120" s="3"/>
    </row>
    <row r="121" spans="1:27" x14ac:dyDescent="0.15">
      <c r="A121" s="3"/>
      <c r="B121" s="3"/>
      <c r="C121" s="177"/>
      <c r="D121" s="137"/>
      <c r="E121" s="137" t="s">
        <v>1006</v>
      </c>
      <c r="F121" s="137"/>
      <c r="G121" s="137"/>
      <c r="H121" s="262">
        <v>4</v>
      </c>
      <c r="I121" s="137" t="s">
        <v>1009</v>
      </c>
      <c r="J121" s="379">
        <f>H121*0.05</f>
        <v>0.2</v>
      </c>
      <c r="K121" s="137" t="s">
        <v>554</v>
      </c>
      <c r="L121" s="137"/>
      <c r="M121" s="182"/>
      <c r="N121" s="3"/>
      <c r="O121" s="293"/>
      <c r="P121" s="295"/>
      <c r="Q121" s="295"/>
      <c r="R121" s="295"/>
      <c r="S121" s="295"/>
      <c r="T121" s="295"/>
      <c r="U121" s="295"/>
      <c r="V121" s="366"/>
      <c r="W121" s="3"/>
      <c r="X121" s="3"/>
      <c r="Y121" s="3"/>
      <c r="Z121" s="3"/>
      <c r="AA121" s="3"/>
    </row>
    <row r="122" spans="1:27" x14ac:dyDescent="0.15">
      <c r="A122" s="3"/>
      <c r="B122" s="3"/>
      <c r="C122" s="177"/>
      <c r="D122" s="137"/>
      <c r="E122" s="137" t="s">
        <v>222</v>
      </c>
      <c r="F122" s="137"/>
      <c r="G122" s="137"/>
      <c r="H122" s="137"/>
      <c r="I122" s="137"/>
      <c r="J122" s="520" t="s">
        <v>221</v>
      </c>
      <c r="K122" s="380"/>
      <c r="L122" s="137"/>
      <c r="M122" s="182"/>
      <c r="N122" s="3"/>
      <c r="O122" s="293"/>
      <c r="P122" s="295" t="s">
        <v>1014</v>
      </c>
      <c r="Q122" s="295"/>
      <c r="R122" s="295"/>
      <c r="S122" s="295"/>
      <c r="T122" s="295"/>
      <c r="U122" s="295"/>
      <c r="V122" s="366"/>
      <c r="W122" s="3"/>
      <c r="X122" s="3"/>
      <c r="Y122" s="3"/>
      <c r="Z122" s="3"/>
      <c r="AA122" s="3"/>
    </row>
    <row r="123" spans="1:27" x14ac:dyDescent="0.15">
      <c r="A123" s="3"/>
      <c r="B123" s="3"/>
      <c r="C123" s="177"/>
      <c r="D123" s="137"/>
      <c r="E123" s="137"/>
      <c r="F123" s="137"/>
      <c r="G123" s="137"/>
      <c r="H123" s="137"/>
      <c r="I123" s="137"/>
      <c r="J123" s="137"/>
      <c r="K123" s="137"/>
      <c r="L123" s="137"/>
      <c r="M123" s="182"/>
      <c r="N123" s="3"/>
      <c r="O123" s="293"/>
      <c r="P123" s="295"/>
      <c r="Q123" s="295"/>
      <c r="R123" s="295"/>
      <c r="S123" s="295"/>
      <c r="T123" s="295"/>
      <c r="U123" s="295"/>
      <c r="V123" s="366"/>
      <c r="W123" s="3"/>
      <c r="X123" s="3"/>
      <c r="Y123" s="3"/>
      <c r="Z123" s="3"/>
      <c r="AA123" s="3"/>
    </row>
    <row r="124" spans="1:27" x14ac:dyDescent="0.15">
      <c r="A124" s="3"/>
      <c r="B124" s="3"/>
      <c r="C124" s="177"/>
      <c r="D124" s="137"/>
      <c r="E124" s="137" t="s">
        <v>980</v>
      </c>
      <c r="F124" s="137"/>
      <c r="G124" s="137"/>
      <c r="H124" s="137"/>
      <c r="I124" s="137"/>
      <c r="J124" s="345">
        <f>SUM(J116:J121)</f>
        <v>0.98520000000000008</v>
      </c>
      <c r="K124" s="137" t="s">
        <v>554</v>
      </c>
      <c r="L124" s="137"/>
      <c r="M124" s="182"/>
      <c r="N124" s="3"/>
      <c r="O124" s="293"/>
      <c r="P124" s="295"/>
      <c r="Q124" s="295" t="s">
        <v>1011</v>
      </c>
      <c r="R124" s="295"/>
      <c r="S124" s="295"/>
      <c r="T124" s="284">
        <v>436.5</v>
      </c>
      <c r="U124" s="42" t="s">
        <v>551</v>
      </c>
      <c r="V124" s="366"/>
      <c r="W124" s="3"/>
      <c r="X124" s="3"/>
      <c r="Y124" s="3"/>
      <c r="Z124" s="3"/>
      <c r="AA124" s="3"/>
    </row>
    <row r="125" spans="1:27" x14ac:dyDescent="0.15">
      <c r="A125" s="3"/>
      <c r="B125" s="3"/>
      <c r="C125" s="177"/>
      <c r="D125" s="137"/>
      <c r="E125" s="137"/>
      <c r="F125" s="137"/>
      <c r="G125" s="137"/>
      <c r="H125" s="137"/>
      <c r="I125" s="137"/>
      <c r="J125" s="137"/>
      <c r="K125" s="137"/>
      <c r="L125" s="137"/>
      <c r="M125" s="182"/>
      <c r="N125" s="3"/>
      <c r="O125" s="293"/>
      <c r="P125" s="295"/>
      <c r="Q125" s="295"/>
      <c r="R125" s="295"/>
      <c r="S125" s="295"/>
      <c r="T125" s="295"/>
      <c r="U125" s="295"/>
      <c r="V125" s="366"/>
      <c r="W125" s="3"/>
      <c r="X125" s="3"/>
      <c r="Y125" s="3"/>
      <c r="Z125" s="3"/>
      <c r="AA125" s="3"/>
    </row>
    <row r="126" spans="1:27" x14ac:dyDescent="0.15">
      <c r="A126" s="3"/>
      <c r="B126" s="3"/>
      <c r="C126" s="177"/>
      <c r="D126" s="137" t="s">
        <v>981</v>
      </c>
      <c r="E126" s="137"/>
      <c r="F126" s="137"/>
      <c r="G126" s="137"/>
      <c r="H126" s="137"/>
      <c r="I126" s="376" t="s">
        <v>982</v>
      </c>
      <c r="J126" s="352">
        <f>10^-(J124/10)</f>
        <v>0.79703978470658343</v>
      </c>
      <c r="K126" s="137"/>
      <c r="L126" s="137"/>
      <c r="M126" s="182"/>
      <c r="N126" s="3"/>
      <c r="O126" s="293"/>
      <c r="P126" s="295"/>
      <c r="Q126" s="295" t="s">
        <v>1012</v>
      </c>
      <c r="R126" s="295"/>
      <c r="S126" s="295"/>
      <c r="T126" s="384">
        <f>80*((T124/1000)/0.25)^-2.75+2.7</f>
        <v>19.976999820031672</v>
      </c>
      <c r="U126" s="383" t="s">
        <v>582</v>
      </c>
      <c r="V126" s="366"/>
      <c r="W126" s="3"/>
      <c r="X126" s="3"/>
      <c r="Y126" s="3"/>
      <c r="Z126" s="3"/>
      <c r="AA126" s="3"/>
    </row>
    <row r="127" spans="1:27" x14ac:dyDescent="0.15">
      <c r="A127" s="3"/>
      <c r="B127" s="3"/>
      <c r="C127" s="177"/>
      <c r="D127" s="137"/>
      <c r="E127" s="137"/>
      <c r="F127" s="137"/>
      <c r="G127" s="137"/>
      <c r="H127" s="137"/>
      <c r="I127" s="137"/>
      <c r="J127" s="137"/>
      <c r="K127" s="137"/>
      <c r="L127" s="137"/>
      <c r="M127" s="182"/>
      <c r="N127" s="3"/>
      <c r="O127" s="293"/>
      <c r="P127" s="295"/>
      <c r="Q127" s="295"/>
      <c r="R127" s="295"/>
      <c r="S127" s="295"/>
      <c r="T127" s="295"/>
      <c r="U127" s="367"/>
      <c r="V127" s="366"/>
      <c r="W127" s="3"/>
      <c r="X127" s="3"/>
      <c r="Y127" s="3"/>
      <c r="Z127" s="3"/>
      <c r="AA127" s="3"/>
    </row>
    <row r="128" spans="1:27" x14ac:dyDescent="0.15">
      <c r="A128" s="3"/>
      <c r="B128" s="3"/>
      <c r="C128" s="177"/>
      <c r="D128" s="137" t="s">
        <v>983</v>
      </c>
      <c r="E128" s="137"/>
      <c r="F128" s="137"/>
      <c r="G128" s="239" t="s">
        <v>868</v>
      </c>
      <c r="H128" s="137"/>
      <c r="I128" s="137" t="s">
        <v>984</v>
      </c>
      <c r="J128" s="349">
        <v>375</v>
      </c>
      <c r="K128" s="137" t="s">
        <v>582</v>
      </c>
      <c r="L128" s="137"/>
      <c r="M128" s="182"/>
      <c r="N128" s="3"/>
      <c r="O128" s="293"/>
      <c r="P128" s="295"/>
      <c r="Q128" s="295" t="s">
        <v>1013</v>
      </c>
      <c r="R128" s="295"/>
      <c r="S128" s="295"/>
      <c r="T128" s="384">
        <f>380*((T124/1000)/0.25)^-2.75+2.7</f>
        <v>84.765749145150451</v>
      </c>
      <c r="U128" s="383" t="s">
        <v>582</v>
      </c>
      <c r="V128" s="366"/>
      <c r="W128" s="3"/>
      <c r="X128" s="3"/>
      <c r="Y128" s="3"/>
      <c r="Z128" s="3"/>
      <c r="AA128" s="3"/>
    </row>
    <row r="129" spans="1:27" x14ac:dyDescent="0.15">
      <c r="A129" s="3"/>
      <c r="B129" s="3"/>
      <c r="C129" s="177"/>
      <c r="D129" s="137"/>
      <c r="E129" s="137"/>
      <c r="F129" s="137"/>
      <c r="G129" s="137"/>
      <c r="H129" s="137"/>
      <c r="I129" s="137"/>
      <c r="J129" s="137"/>
      <c r="K129" s="137"/>
      <c r="L129" s="137"/>
      <c r="M129" s="182"/>
      <c r="N129" s="3"/>
      <c r="O129" s="293"/>
      <c r="P129" s="295"/>
      <c r="Q129" s="295"/>
      <c r="R129" s="295"/>
      <c r="S129" s="295"/>
      <c r="T129" s="295"/>
      <c r="U129" s="295"/>
      <c r="V129" s="366"/>
      <c r="W129" s="3"/>
      <c r="X129" s="3"/>
      <c r="Y129" s="3"/>
      <c r="Z129" s="3"/>
      <c r="AA129" s="3"/>
    </row>
    <row r="130" spans="1:27" x14ac:dyDescent="0.15">
      <c r="A130" s="3"/>
      <c r="B130" s="3"/>
      <c r="C130" s="177"/>
      <c r="D130" s="137" t="s">
        <v>331</v>
      </c>
      <c r="E130" s="137"/>
      <c r="F130" s="137"/>
      <c r="G130" s="137"/>
      <c r="H130" s="137"/>
      <c r="I130" s="137" t="s">
        <v>986</v>
      </c>
      <c r="J130" s="349">
        <v>300</v>
      </c>
      <c r="K130" s="137" t="s">
        <v>582</v>
      </c>
      <c r="L130" s="137"/>
      <c r="M130" s="182"/>
      <c r="N130" s="3"/>
      <c r="O130" s="293"/>
      <c r="P130" s="295"/>
      <c r="Q130" s="295"/>
      <c r="R130" s="295"/>
      <c r="S130" s="295"/>
      <c r="T130" s="295"/>
      <c r="U130" s="295"/>
      <c r="V130" s="366"/>
      <c r="W130" s="3"/>
      <c r="X130" s="3"/>
      <c r="Y130" s="3"/>
      <c r="Z130" s="3"/>
      <c r="AA130" s="3"/>
    </row>
    <row r="131" spans="1:27" x14ac:dyDescent="0.15">
      <c r="A131" s="3"/>
      <c r="B131" s="3"/>
      <c r="C131" s="177"/>
      <c r="D131" s="137"/>
      <c r="E131" s="137"/>
      <c r="F131" s="137"/>
      <c r="G131" s="137"/>
      <c r="H131" s="137"/>
      <c r="I131" s="137"/>
      <c r="J131" s="137"/>
      <c r="K131" s="137"/>
      <c r="L131" s="137"/>
      <c r="M131" s="182"/>
      <c r="N131" s="3"/>
      <c r="O131" s="293"/>
      <c r="P131" s="295" t="s">
        <v>747</v>
      </c>
      <c r="Q131" s="295"/>
      <c r="R131" s="295"/>
      <c r="S131" s="295"/>
      <c r="T131" s="295"/>
      <c r="U131" s="295"/>
      <c r="V131" s="366"/>
      <c r="W131" s="3"/>
      <c r="X131" s="3"/>
      <c r="Y131" s="3"/>
      <c r="Z131" s="3"/>
      <c r="AA131" s="3"/>
    </row>
    <row r="132" spans="1:27" x14ac:dyDescent="0.15">
      <c r="A132" s="3"/>
      <c r="B132" s="3"/>
      <c r="C132" s="177"/>
      <c r="D132" s="137" t="s">
        <v>987</v>
      </c>
      <c r="E132" s="137"/>
      <c r="F132" s="137"/>
      <c r="G132" s="137"/>
      <c r="H132" s="137"/>
      <c r="I132" s="137" t="s">
        <v>988</v>
      </c>
      <c r="J132" s="349">
        <v>77.7</v>
      </c>
      <c r="K132" s="137" t="s">
        <v>582</v>
      </c>
      <c r="L132" s="137"/>
      <c r="M132" s="182"/>
      <c r="N132" s="3"/>
      <c r="O132" s="293"/>
      <c r="P132" s="295"/>
      <c r="Q132" s="295"/>
      <c r="R132" s="295"/>
      <c r="S132" s="295"/>
      <c r="T132" s="295"/>
      <c r="U132" s="295"/>
      <c r="V132" s="366"/>
      <c r="W132" s="3"/>
      <c r="X132" s="3"/>
      <c r="Y132" s="3"/>
      <c r="Z132" s="3"/>
      <c r="AA132" s="3"/>
    </row>
    <row r="133" spans="1:27" x14ac:dyDescent="0.15">
      <c r="A133" s="3"/>
      <c r="B133" s="3"/>
      <c r="C133" s="177"/>
      <c r="D133" s="137"/>
      <c r="E133" s="137"/>
      <c r="F133" s="137"/>
      <c r="G133" s="137"/>
      <c r="H133" s="137"/>
      <c r="I133" s="137"/>
      <c r="J133" s="137"/>
      <c r="K133" s="137"/>
      <c r="L133" s="137"/>
      <c r="M133" s="182"/>
      <c r="N133" s="3"/>
      <c r="O133" s="293"/>
      <c r="P133" s="295"/>
      <c r="Q133" s="295" t="s">
        <v>1015</v>
      </c>
      <c r="R133" s="295"/>
      <c r="S133" s="295"/>
      <c r="T133" s="382">
        <v>14.4</v>
      </c>
      <c r="U133" s="380" t="s">
        <v>1017</v>
      </c>
      <c r="V133" s="366"/>
      <c r="W133" s="3"/>
      <c r="X133" s="3"/>
      <c r="Y133" s="3"/>
      <c r="Z133" s="3"/>
      <c r="AA133" s="3"/>
    </row>
    <row r="134" spans="1:27" x14ac:dyDescent="0.15">
      <c r="A134" s="3"/>
      <c r="B134" s="3"/>
      <c r="C134" s="177"/>
      <c r="D134" s="137" t="s">
        <v>990</v>
      </c>
      <c r="E134" s="137"/>
      <c r="F134" s="350">
        <v>24</v>
      </c>
      <c r="G134" s="137" t="s">
        <v>554</v>
      </c>
      <c r="H134" s="137"/>
      <c r="I134" s="137" t="s">
        <v>991</v>
      </c>
      <c r="J134" s="300">
        <f>10^(F134/10)</f>
        <v>251.18864315095806</v>
      </c>
      <c r="K134" s="137"/>
      <c r="L134" s="137"/>
      <c r="M134" s="182"/>
      <c r="N134" s="3"/>
      <c r="O134" s="293"/>
      <c r="P134" s="295"/>
      <c r="Q134" s="295"/>
      <c r="R134" s="295"/>
      <c r="S134" s="295"/>
      <c r="T134" s="295"/>
      <c r="U134" s="295"/>
      <c r="V134" s="366"/>
      <c r="W134" s="3"/>
      <c r="X134" s="3"/>
      <c r="Y134" s="3"/>
      <c r="Z134" s="3"/>
      <c r="AA134" s="3"/>
    </row>
    <row r="135" spans="1:27" x14ac:dyDescent="0.15">
      <c r="A135" s="3"/>
      <c r="B135" s="3"/>
      <c r="C135" s="177"/>
      <c r="D135" s="137"/>
      <c r="E135" s="137"/>
      <c r="F135" s="715"/>
      <c r="G135" s="137"/>
      <c r="H135" s="137"/>
      <c r="I135" s="137"/>
      <c r="J135" s="300"/>
      <c r="K135" s="137"/>
      <c r="L135" s="137"/>
      <c r="M135" s="182"/>
      <c r="N135" s="3"/>
      <c r="O135" s="293"/>
      <c r="P135" s="239" t="s">
        <v>868</v>
      </c>
      <c r="Q135" s="388" t="s">
        <v>748</v>
      </c>
      <c r="R135" s="295"/>
      <c r="S135" s="295"/>
      <c r="T135" s="284">
        <v>-132.4</v>
      </c>
      <c r="U135" s="380" t="s">
        <v>580</v>
      </c>
      <c r="V135" s="366"/>
      <c r="W135" s="3"/>
      <c r="X135" s="3"/>
      <c r="Y135" s="3"/>
      <c r="Z135" s="3"/>
      <c r="AA135" s="3"/>
    </row>
    <row r="136" spans="1:27" x14ac:dyDescent="0.15">
      <c r="A136" s="3"/>
      <c r="B136" s="3"/>
      <c r="C136" s="177"/>
      <c r="D136" s="137" t="s">
        <v>462</v>
      </c>
      <c r="E136" s="137"/>
      <c r="F136" s="715"/>
      <c r="G136" s="239" t="s">
        <v>868</v>
      </c>
      <c r="H136" s="137"/>
      <c r="I136" s="137"/>
      <c r="J136" s="350">
        <v>0</v>
      </c>
      <c r="K136" s="137" t="s">
        <v>461</v>
      </c>
      <c r="L136" s="137"/>
      <c r="M136" s="182"/>
      <c r="N136" s="3"/>
      <c r="O136" s="293"/>
      <c r="P136" s="295"/>
      <c r="Q136" s="295"/>
      <c r="R136" s="295"/>
      <c r="S136" s="295"/>
      <c r="T136" s="295"/>
      <c r="U136" s="295"/>
      <c r="V136" s="366"/>
      <c r="W136" s="3"/>
      <c r="X136" s="3"/>
      <c r="Y136" s="3"/>
      <c r="Z136" s="3"/>
      <c r="AA136" s="3"/>
    </row>
    <row r="137" spans="1:27" x14ac:dyDescent="0.15">
      <c r="A137" s="3"/>
      <c r="B137" s="3"/>
      <c r="C137" s="177"/>
      <c r="D137" s="137"/>
      <c r="E137" s="137"/>
      <c r="F137" s="715"/>
      <c r="G137" s="137"/>
      <c r="H137" s="137"/>
      <c r="I137" s="137"/>
      <c r="J137" s="300"/>
      <c r="K137" s="137"/>
      <c r="L137" s="137"/>
      <c r="M137" s="182"/>
      <c r="N137" s="3"/>
      <c r="O137" s="293"/>
      <c r="P137" s="295"/>
      <c r="Q137" s="388" t="s">
        <v>1016</v>
      </c>
      <c r="R137" s="295"/>
      <c r="S137" s="295"/>
      <c r="T137" s="384">
        <f>10^((T135+198.6-10*LOG10(T133*1000))/10)</f>
        <v>289.49262740995471</v>
      </c>
      <c r="U137" s="385" t="s">
        <v>582</v>
      </c>
      <c r="V137" s="366"/>
      <c r="W137" s="3"/>
      <c r="X137" s="3"/>
      <c r="Y137" s="3"/>
      <c r="Z137" s="3"/>
      <c r="AA137" s="3"/>
    </row>
    <row r="138" spans="1:27" x14ac:dyDescent="0.15">
      <c r="A138" s="3"/>
      <c r="B138" s="3"/>
      <c r="C138" s="177"/>
      <c r="D138" s="137" t="s">
        <v>463</v>
      </c>
      <c r="E138" s="137"/>
      <c r="F138" s="715"/>
      <c r="G138" s="137"/>
      <c r="H138" s="137"/>
      <c r="I138" s="137"/>
      <c r="J138" s="382" t="s">
        <v>464</v>
      </c>
      <c r="K138" s="380"/>
      <c r="L138" s="137"/>
      <c r="M138" s="182"/>
      <c r="N138" s="3"/>
      <c r="O138" s="293"/>
      <c r="P138" s="295"/>
      <c r="Q138" s="295"/>
      <c r="R138" s="295"/>
      <c r="S138" s="295"/>
      <c r="T138" s="295"/>
      <c r="U138" s="295"/>
      <c r="V138" s="366"/>
      <c r="W138" s="3"/>
      <c r="X138" s="3"/>
      <c r="Y138" s="3"/>
      <c r="Z138" s="3"/>
      <c r="AA138" s="3"/>
    </row>
    <row r="139" spans="1:27" x14ac:dyDescent="0.15">
      <c r="A139" s="3"/>
      <c r="B139" s="3"/>
      <c r="C139" s="177"/>
      <c r="D139" s="137"/>
      <c r="E139" s="137"/>
      <c r="F139" s="715"/>
      <c r="G139" s="137"/>
      <c r="H139" s="137"/>
      <c r="I139" s="137"/>
      <c r="J139" s="300"/>
      <c r="K139" s="137"/>
      <c r="L139" s="137"/>
      <c r="M139" s="182"/>
      <c r="N139" s="3"/>
      <c r="O139" s="293"/>
      <c r="P139" s="295" t="s">
        <v>1018</v>
      </c>
      <c r="Q139" s="295"/>
      <c r="R139" s="295"/>
      <c r="S139" s="295"/>
      <c r="T139" s="387">
        <f>T126+T137</f>
        <v>309.46962722998637</v>
      </c>
      <c r="U139" s="386" t="s">
        <v>582</v>
      </c>
      <c r="V139" s="366"/>
      <c r="W139" s="3"/>
      <c r="X139" s="3"/>
      <c r="Y139" s="3"/>
      <c r="Z139" s="3"/>
      <c r="AA139" s="3"/>
    </row>
    <row r="140" spans="1:27" x14ac:dyDescent="0.15">
      <c r="A140" s="3"/>
      <c r="B140" s="3"/>
      <c r="C140" s="177"/>
      <c r="D140" s="137" t="s">
        <v>465</v>
      </c>
      <c r="E140" s="137"/>
      <c r="F140" s="715"/>
      <c r="G140" s="137"/>
      <c r="H140" s="137"/>
      <c r="I140" s="137"/>
      <c r="J140" s="716">
        <v>9.1999999999999998E-2</v>
      </c>
      <c r="K140" s="137" t="s">
        <v>249</v>
      </c>
      <c r="L140" s="137"/>
      <c r="M140" s="182"/>
      <c r="N140" s="3"/>
      <c r="O140" s="293"/>
      <c r="P140" s="295"/>
      <c r="Q140" s="295"/>
      <c r="R140" s="295"/>
      <c r="S140" s="295"/>
      <c r="T140" s="297"/>
      <c r="U140" s="297"/>
      <c r="V140" s="366"/>
      <c r="W140" s="3"/>
      <c r="X140" s="3"/>
      <c r="Y140" s="3"/>
      <c r="Z140" s="3"/>
      <c r="AA140" s="3"/>
    </row>
    <row r="141" spans="1:27" x14ac:dyDescent="0.15">
      <c r="A141" s="3"/>
      <c r="B141" s="3"/>
      <c r="C141" s="177"/>
      <c r="D141" s="137"/>
      <c r="E141" s="137"/>
      <c r="F141" s="715"/>
      <c r="G141" s="137"/>
      <c r="H141" s="137"/>
      <c r="I141" s="137"/>
      <c r="J141" s="300"/>
      <c r="K141" s="137"/>
      <c r="L141" s="137"/>
      <c r="M141" s="182"/>
      <c r="N141" s="3"/>
      <c r="O141" s="293"/>
      <c r="P141" s="295" t="s">
        <v>1019</v>
      </c>
      <c r="Q141" s="295"/>
      <c r="R141" s="295"/>
      <c r="S141" s="295"/>
      <c r="T141" s="387">
        <f>T128+T137</f>
        <v>374.25837655510514</v>
      </c>
      <c r="U141" s="386" t="s">
        <v>582</v>
      </c>
      <c r="V141" s="366"/>
      <c r="W141" s="3"/>
      <c r="X141" s="3"/>
      <c r="Y141" s="3"/>
      <c r="Z141" s="3"/>
      <c r="AA141" s="3"/>
    </row>
    <row r="142" spans="1:27" x14ac:dyDescent="0.15">
      <c r="A142" s="3"/>
      <c r="B142" s="3"/>
      <c r="C142" s="177"/>
      <c r="D142" s="137" t="s">
        <v>466</v>
      </c>
      <c r="E142" s="137"/>
      <c r="F142" s="715"/>
      <c r="G142" s="137"/>
      <c r="H142" s="137"/>
      <c r="I142" s="137"/>
      <c r="J142" s="300">
        <f>J136*J140</f>
        <v>0</v>
      </c>
      <c r="K142" s="137" t="s">
        <v>554</v>
      </c>
      <c r="L142" s="137"/>
      <c r="M142" s="182"/>
      <c r="N142" s="3"/>
      <c r="O142" s="296"/>
      <c r="P142" s="297"/>
      <c r="Q142" s="297"/>
      <c r="R142" s="297"/>
      <c r="S142" s="297"/>
      <c r="T142" s="297"/>
      <c r="U142" s="297"/>
      <c r="V142" s="298"/>
      <c r="W142" s="3"/>
      <c r="X142" s="3"/>
      <c r="Y142" s="3"/>
      <c r="Z142" s="3"/>
      <c r="AA142" s="3"/>
    </row>
    <row r="143" spans="1:27" x14ac:dyDescent="0.15">
      <c r="A143" s="3"/>
      <c r="B143" s="3"/>
      <c r="C143" s="177"/>
      <c r="D143" s="137"/>
      <c r="E143" s="137"/>
      <c r="F143" s="137"/>
      <c r="G143" s="137"/>
      <c r="H143" s="137"/>
      <c r="I143" s="137"/>
      <c r="J143" s="137"/>
      <c r="K143" s="137"/>
      <c r="L143" s="137"/>
      <c r="M143" s="182"/>
      <c r="N143" s="3"/>
      <c r="O143" s="3"/>
      <c r="P143" s="3"/>
      <c r="Q143" s="3"/>
      <c r="R143" s="3"/>
      <c r="S143" s="3"/>
      <c r="T143" s="3"/>
      <c r="U143" s="3"/>
      <c r="V143" s="3"/>
      <c r="W143" s="3"/>
      <c r="X143" s="3"/>
      <c r="Y143" s="3"/>
      <c r="Z143" s="3"/>
      <c r="AA143" s="3"/>
    </row>
    <row r="144" spans="1:27" x14ac:dyDescent="0.15">
      <c r="A144" s="3"/>
      <c r="B144" s="3"/>
      <c r="C144" s="177"/>
      <c r="D144" s="137" t="s">
        <v>836</v>
      </c>
      <c r="E144" s="137"/>
      <c r="F144" s="137"/>
      <c r="G144" s="137"/>
      <c r="H144" s="137"/>
      <c r="I144" s="137" t="s">
        <v>467</v>
      </c>
      <c r="J144" s="349">
        <v>300</v>
      </c>
      <c r="K144" s="137" t="s">
        <v>582</v>
      </c>
      <c r="L144" s="137"/>
      <c r="M144" s="182"/>
      <c r="N144" s="3"/>
      <c r="O144" s="3"/>
      <c r="P144" s="3"/>
      <c r="Q144" s="3"/>
      <c r="R144" s="3"/>
      <c r="S144" s="3"/>
      <c r="T144" s="3"/>
      <c r="U144" s="3"/>
      <c r="V144" s="3"/>
      <c r="W144" s="3"/>
      <c r="X144" s="3"/>
      <c r="Y144" s="3"/>
      <c r="Z144" s="3"/>
      <c r="AA144" s="3"/>
    </row>
    <row r="145" spans="1:27" x14ac:dyDescent="0.15">
      <c r="A145" s="3"/>
      <c r="B145" s="3"/>
      <c r="C145" s="177"/>
      <c r="D145" s="137"/>
      <c r="E145" s="137"/>
      <c r="F145" s="137"/>
      <c r="G145" s="137"/>
      <c r="H145" s="137"/>
      <c r="I145" s="137"/>
      <c r="J145" s="137"/>
      <c r="K145" s="137"/>
      <c r="L145" s="137"/>
      <c r="M145" s="182"/>
      <c r="N145" s="3"/>
      <c r="O145" s="3"/>
      <c r="P145" s="3"/>
      <c r="Q145" s="3"/>
      <c r="R145" s="3"/>
      <c r="S145" s="3"/>
      <c r="T145" s="3"/>
      <c r="U145" s="3"/>
      <c r="V145" s="3"/>
      <c r="W145" s="3"/>
      <c r="X145" s="3"/>
      <c r="Y145" s="3"/>
      <c r="Z145" s="3"/>
      <c r="AA145" s="3"/>
    </row>
    <row r="146" spans="1:27" x14ac:dyDescent="0.15">
      <c r="A146" s="3"/>
      <c r="B146" s="3"/>
      <c r="C146" s="177"/>
      <c r="D146" s="137"/>
      <c r="E146" s="137"/>
      <c r="F146" s="137"/>
      <c r="G146" s="137"/>
      <c r="H146" s="137"/>
      <c r="I146" s="137"/>
      <c r="J146" s="137"/>
      <c r="K146" s="137"/>
      <c r="L146" s="377"/>
      <c r="M146" s="182"/>
      <c r="N146" s="3"/>
      <c r="O146" s="3"/>
      <c r="P146" s="3"/>
      <c r="Q146" s="3"/>
      <c r="R146" s="3"/>
      <c r="S146" s="3"/>
      <c r="T146" s="3"/>
      <c r="U146" s="3"/>
      <c r="V146" s="3"/>
      <c r="W146" s="3"/>
      <c r="X146" s="3"/>
      <c r="Y146" s="3"/>
      <c r="Z146" s="3"/>
      <c r="AA146" s="3"/>
    </row>
    <row r="147" spans="1:27" x14ac:dyDescent="0.15">
      <c r="A147" s="3"/>
      <c r="B147" s="3"/>
      <c r="C147" s="177"/>
      <c r="D147" s="137" t="s">
        <v>993</v>
      </c>
      <c r="E147" s="137"/>
      <c r="F147" s="137"/>
      <c r="G147" s="137"/>
      <c r="H147" s="137"/>
      <c r="I147" s="137" t="s">
        <v>994</v>
      </c>
      <c r="J147" s="389">
        <f>J128*J126+J130*(1-J126)+J132+(J144/(J134/(10^(J142/10))))</f>
        <v>438.67230536465428</v>
      </c>
      <c r="K147" s="137" t="s">
        <v>582</v>
      </c>
      <c r="L147" s="137"/>
      <c r="M147" s="182"/>
      <c r="N147" s="3"/>
      <c r="O147" s="3"/>
      <c r="P147" s="3"/>
      <c r="Q147" s="3"/>
      <c r="R147" s="3"/>
      <c r="S147" s="3"/>
      <c r="T147" s="3"/>
      <c r="U147" s="3"/>
      <c r="V147" s="3"/>
      <c r="W147" s="3"/>
      <c r="X147" s="3"/>
      <c r="Y147" s="3"/>
      <c r="Z147" s="3"/>
      <c r="AA147" s="3"/>
    </row>
    <row r="148" spans="1:27" x14ac:dyDescent="0.15">
      <c r="A148" s="3"/>
      <c r="B148" s="3"/>
      <c r="C148" s="177"/>
      <c r="D148" s="137"/>
      <c r="E148" s="137"/>
      <c r="F148" s="137"/>
      <c r="G148" s="137"/>
      <c r="H148" s="137"/>
      <c r="I148" s="137"/>
      <c r="J148" s="137"/>
      <c r="K148" s="137"/>
      <c r="L148" s="137"/>
      <c r="M148" s="182"/>
      <c r="N148" s="3"/>
      <c r="O148" s="3"/>
      <c r="P148" s="3"/>
      <c r="Q148" s="3"/>
      <c r="R148" s="3"/>
      <c r="S148" s="3"/>
      <c r="T148" s="3"/>
      <c r="U148" s="3"/>
      <c r="V148" s="3"/>
      <c r="W148" s="3"/>
      <c r="X148" s="3"/>
      <c r="Y148" s="3"/>
      <c r="Z148" s="3"/>
      <c r="AA148" s="3"/>
    </row>
    <row r="149" spans="1:27" x14ac:dyDescent="0.15">
      <c r="A149" s="3"/>
      <c r="B149" s="3"/>
      <c r="C149" s="177"/>
      <c r="D149" s="137"/>
      <c r="E149" s="137"/>
      <c r="F149" s="137"/>
      <c r="G149" s="137"/>
      <c r="H149" s="137"/>
      <c r="I149" s="137"/>
      <c r="J149" s="137"/>
      <c r="K149" s="137"/>
      <c r="L149" s="137"/>
      <c r="M149" s="182"/>
      <c r="N149" s="3"/>
      <c r="O149" s="3"/>
      <c r="P149" s="3"/>
      <c r="Q149" s="3"/>
      <c r="R149" s="3"/>
      <c r="S149" s="3"/>
      <c r="T149" s="3"/>
      <c r="U149" s="3"/>
      <c r="V149" s="3"/>
      <c r="W149" s="3"/>
      <c r="X149" s="3"/>
      <c r="Y149" s="3"/>
      <c r="Z149" s="3"/>
      <c r="AA149" s="3"/>
    </row>
    <row r="150" spans="1:27" x14ac:dyDescent="0.15">
      <c r="A150" s="3"/>
      <c r="B150" s="3"/>
      <c r="C150" s="233"/>
      <c r="D150" s="234"/>
      <c r="E150" s="234"/>
      <c r="F150" s="234"/>
      <c r="G150" s="234"/>
      <c r="H150" s="234"/>
      <c r="I150" s="234"/>
      <c r="J150" s="234"/>
      <c r="K150" s="234"/>
      <c r="L150" s="234"/>
      <c r="M150" s="235"/>
      <c r="N150" s="3"/>
      <c r="O150" s="3"/>
      <c r="P150" s="3"/>
      <c r="Q150" s="3"/>
      <c r="R150" s="3"/>
      <c r="S150" s="3"/>
      <c r="T150" s="3"/>
      <c r="U150" s="3"/>
      <c r="V150" s="3"/>
      <c r="W150" s="3"/>
      <c r="X150" s="3"/>
      <c r="Y150" s="3"/>
      <c r="Z150" s="3"/>
      <c r="AA150" s="3"/>
    </row>
    <row r="151" spans="1:27"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x14ac:dyDescent="0.15">
      <c r="A153" s="3"/>
      <c r="B153" s="3"/>
      <c r="C153" s="3"/>
      <c r="D153" s="3"/>
      <c r="E153" s="3"/>
      <c r="F153" s="3"/>
      <c r="G153" s="3"/>
      <c r="H153" s="3"/>
      <c r="I153" s="3"/>
      <c r="J153" s="3"/>
      <c r="K153" s="3"/>
      <c r="L153" s="3" t="s">
        <v>512</v>
      </c>
      <c r="M153" s="3"/>
      <c r="N153" s="3"/>
      <c r="O153" s="3"/>
      <c r="P153" s="3"/>
      <c r="Q153" s="3"/>
      <c r="R153" s="3"/>
      <c r="S153" s="3"/>
      <c r="T153" s="3"/>
      <c r="U153" s="3"/>
      <c r="V153" s="3"/>
      <c r="W153" s="3"/>
      <c r="X153" s="3"/>
      <c r="Y153" s="3"/>
      <c r="Z153" s="3"/>
      <c r="AA153" s="3"/>
    </row>
    <row r="154" spans="1:27"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51"/>
  </sheetPr>
  <dimension ref="A1:Z121"/>
  <sheetViews>
    <sheetView zoomScale="90" zoomScaleNormal="90" workbookViewId="0">
      <selection activeCell="E14" sqref="E14"/>
    </sheetView>
  </sheetViews>
  <sheetFormatPr baseColWidth="10" defaultColWidth="10.6640625" defaultRowHeight="13" x14ac:dyDescent="0.15"/>
  <cols>
    <col min="1" max="4" width="8.83203125" customWidth="1"/>
    <col min="5" max="5" width="10.1640625" customWidth="1"/>
    <col min="6" max="6" width="9.83203125" customWidth="1"/>
    <col min="7" max="7" width="10.83203125" customWidth="1"/>
    <col min="8" max="9" width="8.83203125" customWidth="1"/>
    <col min="10" max="10" width="11.33203125" customWidth="1"/>
    <col min="11" max="11" width="10.5" customWidth="1"/>
    <col min="12" max="13" width="8.83203125" customWidth="1"/>
    <col min="14" max="14" width="11.33203125" customWidth="1"/>
    <col min="15" max="15" width="8.83203125" customWidth="1"/>
    <col min="16" max="16" width="10.83203125" customWidth="1"/>
    <col min="17" max="17" width="9.5" bestFit="1" customWidth="1"/>
    <col min="18" max="18" width="8.83203125" customWidth="1"/>
    <col min="19" max="19" width="9.5" customWidth="1"/>
    <col min="20" max="20" width="8.83203125" customWidth="1"/>
    <col min="21" max="21" width="9.5" bestFit="1" customWidth="1"/>
    <col min="22" max="22" width="10" customWidth="1"/>
    <col min="23" max="256" width="8.83203125" customWidth="1"/>
  </cols>
  <sheetData>
    <row r="1" spans="1:26" ht="19" thickBot="1" x14ac:dyDescent="0.25">
      <c r="A1" s="119" t="s">
        <v>1050</v>
      </c>
      <c r="B1" s="119"/>
      <c r="C1" s="119"/>
      <c r="D1" s="119"/>
      <c r="E1" s="121"/>
      <c r="F1" s="121"/>
      <c r="G1" s="677" t="str">
        <f>'Title Page'!F3</f>
        <v>3UCubed</v>
      </c>
      <c r="H1" s="121"/>
      <c r="I1" s="121"/>
      <c r="J1" s="121"/>
      <c r="K1" s="121"/>
      <c r="L1" s="905">
        <f ca="1">'Title Page'!F23</f>
        <v>45769</v>
      </c>
      <c r="M1" s="121"/>
      <c r="N1" s="121"/>
      <c r="O1" s="121"/>
      <c r="P1" s="121"/>
      <c r="Q1" s="121"/>
      <c r="R1" s="121"/>
      <c r="S1" s="121"/>
      <c r="T1" s="121"/>
      <c r="U1" s="121"/>
      <c r="V1" s="121"/>
      <c r="W1" s="121"/>
      <c r="X1" s="121"/>
      <c r="Y1" s="121"/>
      <c r="Z1" s="121"/>
    </row>
    <row r="2" spans="1:26" x14ac:dyDescent="0.15">
      <c r="A2" s="3"/>
      <c r="B2" s="3"/>
      <c r="C2" s="3"/>
      <c r="D2" s="3"/>
      <c r="E2" s="3"/>
      <c r="F2" s="3"/>
      <c r="G2" s="3"/>
      <c r="H2" s="3"/>
      <c r="I2" s="3"/>
      <c r="J2" s="3"/>
      <c r="K2" s="3"/>
      <c r="L2" s="3"/>
      <c r="M2" s="3"/>
      <c r="N2" s="3"/>
      <c r="O2" s="3"/>
      <c r="P2" s="3"/>
      <c r="Q2" s="3"/>
      <c r="R2" s="3"/>
      <c r="S2" s="3"/>
      <c r="T2" s="3"/>
      <c r="U2" s="3"/>
      <c r="V2" s="3"/>
      <c r="W2" s="3"/>
      <c r="X2" s="3"/>
      <c r="Y2" s="3"/>
      <c r="Z2" s="3"/>
    </row>
    <row r="3" spans="1:26" ht="16" x14ac:dyDescent="0.2">
      <c r="A3" s="188" t="s">
        <v>783</v>
      </c>
      <c r="B3" s="189"/>
      <c r="C3" s="190"/>
      <c r="D3" s="3"/>
      <c r="E3" s="527"/>
      <c r="F3" s="3"/>
      <c r="G3" s="3"/>
      <c r="H3" s="3"/>
      <c r="I3" s="3"/>
      <c r="J3" s="527" t="s">
        <v>512</v>
      </c>
      <c r="K3" s="3"/>
      <c r="L3" s="3"/>
      <c r="M3" s="3"/>
      <c r="N3" s="3"/>
      <c r="O3" s="3"/>
      <c r="P3" s="3"/>
      <c r="Q3" s="3"/>
      <c r="R3" s="3"/>
      <c r="S3" s="3"/>
      <c r="T3" s="3"/>
      <c r="U3" s="3"/>
      <c r="V3" s="3"/>
      <c r="W3" s="3"/>
      <c r="X3" s="3"/>
      <c r="Y3" s="3"/>
      <c r="Z3" s="3"/>
    </row>
    <row r="4" spans="1:26" ht="16" x14ac:dyDescent="0.2">
      <c r="A4" s="132"/>
      <c r="B4" s="3"/>
      <c r="C4" s="3"/>
      <c r="D4" s="3"/>
      <c r="E4" s="527"/>
      <c r="F4" s="3"/>
      <c r="G4" s="3"/>
      <c r="H4" s="3"/>
      <c r="I4" s="3"/>
      <c r="J4" s="527"/>
      <c r="K4" s="3"/>
      <c r="L4" s="3"/>
      <c r="M4" s="3"/>
      <c r="N4" s="3"/>
      <c r="O4" s="3"/>
      <c r="P4" s="3"/>
      <c r="Q4" s="3"/>
      <c r="R4" s="3"/>
      <c r="S4" s="3"/>
      <c r="T4" s="3"/>
      <c r="U4" s="3"/>
      <c r="V4" s="3"/>
      <c r="W4" s="3"/>
      <c r="X4" s="3"/>
      <c r="Y4" s="3"/>
      <c r="Z4" s="3"/>
    </row>
    <row r="5" spans="1:26" ht="16" x14ac:dyDescent="0.2">
      <c r="A5" s="132"/>
      <c r="B5" s="351" t="s">
        <v>1010</v>
      </c>
      <c r="C5" s="3"/>
      <c r="D5" s="3"/>
      <c r="E5" s="527"/>
      <c r="F5" s="3"/>
      <c r="G5" s="3"/>
      <c r="H5" s="3"/>
      <c r="I5" s="3"/>
      <c r="J5" s="527"/>
      <c r="K5" s="3"/>
      <c r="L5" s="3"/>
      <c r="M5" s="3"/>
      <c r="N5" s="3"/>
      <c r="O5" s="3"/>
      <c r="P5" s="3"/>
      <c r="Q5" s="3"/>
      <c r="R5" s="3"/>
      <c r="S5" s="3"/>
      <c r="T5" s="3"/>
      <c r="U5" s="3"/>
      <c r="V5" s="3"/>
      <c r="W5" s="3"/>
      <c r="X5" s="3"/>
      <c r="Y5" s="3"/>
      <c r="Z5" s="3"/>
    </row>
    <row r="6" spans="1:26" ht="17" thickBot="1" x14ac:dyDescent="0.25">
      <c r="A6" s="132"/>
      <c r="B6" s="3"/>
      <c r="C6" s="3"/>
      <c r="D6" s="3"/>
      <c r="E6" s="3"/>
      <c r="F6" s="3"/>
      <c r="G6" s="3"/>
      <c r="H6" s="3"/>
      <c r="I6" s="3"/>
      <c r="J6" s="3"/>
      <c r="K6" s="3"/>
      <c r="L6" s="3"/>
      <c r="M6" s="3"/>
      <c r="N6" s="3"/>
      <c r="O6" s="3"/>
      <c r="P6" s="3"/>
      <c r="Q6" s="3"/>
      <c r="R6" s="3"/>
      <c r="S6" s="3"/>
      <c r="T6" s="3"/>
      <c r="U6" s="3"/>
      <c r="V6" s="3"/>
      <c r="W6" s="3"/>
      <c r="X6" s="3"/>
      <c r="Y6" s="3"/>
      <c r="Z6" s="3"/>
    </row>
    <row r="7" spans="1:26" ht="17" thickBot="1" x14ac:dyDescent="0.25">
      <c r="A7" s="132" t="s">
        <v>512</v>
      </c>
      <c r="B7" s="187" t="s">
        <v>822</v>
      </c>
      <c r="C7" s="194"/>
      <c r="D7" s="180"/>
      <c r="E7" s="180"/>
      <c r="F7" s="180"/>
      <c r="G7" s="180" t="s">
        <v>512</v>
      </c>
      <c r="H7" s="180"/>
      <c r="I7" s="180"/>
      <c r="J7" s="180" t="s">
        <v>512</v>
      </c>
      <c r="K7" s="180"/>
      <c r="L7" s="181"/>
      <c r="M7" s="3"/>
      <c r="N7" s="3"/>
      <c r="O7" s="3"/>
      <c r="P7" s="3"/>
      <c r="Q7" s="3"/>
      <c r="R7" s="3"/>
      <c r="S7" s="3"/>
      <c r="T7" s="3"/>
      <c r="U7" s="3"/>
      <c r="V7" s="3"/>
      <c r="W7" s="3"/>
      <c r="X7" s="3"/>
      <c r="Y7" s="3"/>
      <c r="Z7" s="3"/>
    </row>
    <row r="8" spans="1:26" x14ac:dyDescent="0.15">
      <c r="A8" s="3"/>
      <c r="B8" s="178" t="s">
        <v>512</v>
      </c>
      <c r="C8" s="211"/>
      <c r="D8" s="213" t="s">
        <v>832</v>
      </c>
      <c r="E8" s="212" t="s">
        <v>550</v>
      </c>
      <c r="F8" s="241">
        <f>Frequency!M10</f>
        <v>436.5</v>
      </c>
      <c r="G8" s="137" t="s">
        <v>551</v>
      </c>
      <c r="H8" s="137"/>
      <c r="I8" s="137"/>
      <c r="J8" s="137" t="s">
        <v>814</v>
      </c>
      <c r="K8" s="242">
        <f>299.8/$F$8</f>
        <v>0.6868270332187858</v>
      </c>
      <c r="L8" s="182" t="s">
        <v>552</v>
      </c>
      <c r="M8" s="3"/>
      <c r="N8" s="3"/>
      <c r="O8" s="3"/>
      <c r="P8" s="3"/>
      <c r="Q8" s="3"/>
      <c r="R8" s="3"/>
      <c r="S8" s="3"/>
      <c r="T8" s="3"/>
      <c r="U8" s="3"/>
      <c r="V8" s="3"/>
      <c r="W8" s="3"/>
      <c r="X8" s="3"/>
      <c r="Y8" s="3"/>
      <c r="Z8" s="3"/>
    </row>
    <row r="9" spans="1:26" x14ac:dyDescent="0.15">
      <c r="A9" s="3"/>
      <c r="B9" s="177"/>
      <c r="C9" s="137"/>
      <c r="D9" s="137"/>
      <c r="E9" s="137"/>
      <c r="F9" s="137"/>
      <c r="G9" s="137"/>
      <c r="H9" s="137"/>
      <c r="I9" s="137"/>
      <c r="J9" s="137"/>
      <c r="K9" s="137"/>
      <c r="L9" s="182"/>
      <c r="M9" s="3"/>
      <c r="N9" s="3"/>
      <c r="O9" s="3"/>
      <c r="P9" s="3"/>
      <c r="Q9" s="3"/>
      <c r="R9" s="3"/>
      <c r="S9" s="3"/>
      <c r="T9" s="3"/>
      <c r="U9" s="3"/>
      <c r="V9" s="3"/>
      <c r="W9" s="3"/>
      <c r="X9" s="3"/>
      <c r="Y9" s="3"/>
      <c r="Z9" s="3"/>
    </row>
    <row r="10" spans="1:26" ht="14" thickBot="1" x14ac:dyDescent="0.2">
      <c r="A10" s="32"/>
      <c r="B10" s="177"/>
      <c r="C10" s="137"/>
      <c r="D10" s="137"/>
      <c r="E10" s="137"/>
      <c r="F10" s="200" t="s">
        <v>835</v>
      </c>
      <c r="G10" s="137"/>
      <c r="H10" s="137"/>
      <c r="I10" s="137"/>
      <c r="J10" s="137"/>
      <c r="K10" s="137"/>
      <c r="L10" s="182"/>
      <c r="M10" s="3"/>
      <c r="N10" s="3"/>
      <c r="O10" s="3"/>
      <c r="P10" s="3"/>
      <c r="Q10" s="231" t="s">
        <v>512</v>
      </c>
      <c r="R10" s="3"/>
      <c r="S10" s="3"/>
      <c r="T10" s="3"/>
      <c r="U10" s="3"/>
      <c r="V10" s="3"/>
      <c r="W10" s="3"/>
      <c r="X10" s="3"/>
      <c r="Y10" s="3"/>
      <c r="Z10" s="3"/>
    </row>
    <row r="11" spans="1:26" ht="14" thickBot="1" x14ac:dyDescent="0.2">
      <c r="A11" s="32"/>
      <c r="B11" s="178" t="s">
        <v>512</v>
      </c>
      <c r="C11" s="137"/>
      <c r="D11" s="137"/>
      <c r="E11" s="711">
        <v>1</v>
      </c>
      <c r="F11" s="710" t="str">
        <f>INDEX(B13:B16,E11,1)</f>
        <v>Yagi</v>
      </c>
      <c r="G11" s="185"/>
      <c r="H11" s="137"/>
      <c r="I11" s="137"/>
      <c r="J11" s="137" t="s">
        <v>786</v>
      </c>
      <c r="K11" s="262" t="s">
        <v>788</v>
      </c>
      <c r="L11" s="182"/>
      <c r="M11" s="3"/>
      <c r="N11" s="3"/>
      <c r="O11" s="3"/>
      <c r="P11" s="3"/>
      <c r="Q11" s="3"/>
      <c r="R11" s="3"/>
      <c r="S11" s="3"/>
      <c r="T11" s="3"/>
      <c r="U11" s="3"/>
      <c r="V11" s="3"/>
      <c r="W11" s="3"/>
      <c r="X11" s="3"/>
      <c r="Y11" s="3"/>
      <c r="Z11" s="3"/>
    </row>
    <row r="12" spans="1:26" ht="14" thickBot="1" x14ac:dyDescent="0.2">
      <c r="A12" s="215" t="s">
        <v>834</v>
      </c>
      <c r="B12" s="179"/>
      <c r="C12" s="142"/>
      <c r="D12" s="142"/>
      <c r="E12" s="142"/>
      <c r="F12" s="142"/>
      <c r="G12" s="142"/>
      <c r="H12" s="142"/>
      <c r="I12" s="142"/>
      <c r="J12" s="142"/>
      <c r="K12" s="142"/>
      <c r="L12" s="183"/>
      <c r="M12" s="3"/>
      <c r="N12" s="3"/>
      <c r="O12" s="3"/>
      <c r="P12" s="3"/>
      <c r="Q12" s="3"/>
      <c r="R12" s="3"/>
      <c r="S12" s="3"/>
      <c r="T12" s="3"/>
      <c r="U12" s="3"/>
      <c r="V12" s="3"/>
      <c r="W12" s="3"/>
      <c r="X12" s="3"/>
      <c r="Y12" s="3"/>
      <c r="Z12" s="3"/>
    </row>
    <row r="13" spans="1:26" ht="36" customHeight="1" x14ac:dyDescent="0.15">
      <c r="A13" s="175">
        <v>1</v>
      </c>
      <c r="B13" s="170" t="s">
        <v>804</v>
      </c>
      <c r="C13" s="170"/>
      <c r="D13" s="171" t="s">
        <v>799</v>
      </c>
      <c r="E13" s="172">
        <v>2.5</v>
      </c>
      <c r="F13" s="170"/>
      <c r="G13" s="171" t="s">
        <v>801</v>
      </c>
      <c r="H13" s="173">
        <f>IF(E13&lt;$B$72,"too short!",INDEX($D$72:$D$110,MATCH(E13,$B$72:$B$110,1),1))</f>
        <v>10</v>
      </c>
      <c r="I13" s="170" t="s">
        <v>800</v>
      </c>
      <c r="J13" s="174" t="s">
        <v>813</v>
      </c>
      <c r="K13" s="170"/>
      <c r="L13" s="170"/>
      <c r="M13" s="151" t="s">
        <v>802</v>
      </c>
      <c r="N13" s="152">
        <f>IF(E13&lt;$B$72,"too short!",INDEX($F$72:$F$110,MATCH(E13,$B$72:$B$110,1),1))</f>
        <v>15.25</v>
      </c>
      <c r="O13" s="150" t="s">
        <v>581</v>
      </c>
      <c r="P13" s="150" t="s">
        <v>787</v>
      </c>
      <c r="Q13" s="153">
        <f>SQRT(40000/(10^(N13/10)))</f>
        <v>34.556519610157267</v>
      </c>
      <c r="R13" s="150" t="s">
        <v>729</v>
      </c>
      <c r="S13" s="150" t="s">
        <v>1021</v>
      </c>
      <c r="T13" s="150"/>
      <c r="U13" s="154">
        <f>K8*E13</f>
        <v>1.7170675830469646</v>
      </c>
      <c r="V13" s="155" t="s">
        <v>552</v>
      </c>
      <c r="W13" s="3"/>
      <c r="X13" s="3"/>
      <c r="Y13" s="3"/>
      <c r="Z13" s="3"/>
    </row>
    <row r="14" spans="1:26" ht="36" customHeight="1" x14ac:dyDescent="0.15">
      <c r="A14" s="156">
        <v>2</v>
      </c>
      <c r="B14" s="157" t="s">
        <v>818</v>
      </c>
      <c r="C14" s="157"/>
      <c r="D14" s="157" t="s">
        <v>791</v>
      </c>
      <c r="E14" s="158">
        <v>5.2</v>
      </c>
      <c r="F14" s="157"/>
      <c r="G14" s="159" t="s">
        <v>792</v>
      </c>
      <c r="H14" s="158">
        <v>0.25</v>
      </c>
      <c r="I14" s="157"/>
      <c r="J14" s="159" t="s">
        <v>790</v>
      </c>
      <c r="K14" s="160">
        <v>1</v>
      </c>
      <c r="L14" s="157"/>
      <c r="M14" s="157" t="s">
        <v>785</v>
      </c>
      <c r="N14" s="161">
        <f>10*LOG10(15*K14^2*E14*H14)</f>
        <v>12.900346113625181</v>
      </c>
      <c r="O14" s="157" t="s">
        <v>581</v>
      </c>
      <c r="P14" s="157" t="s">
        <v>787</v>
      </c>
      <c r="Q14" s="162">
        <f>52.2/(K14*((E14*H14)^0.5))</f>
        <v>45.782428607826922</v>
      </c>
      <c r="R14" s="157" t="s">
        <v>729</v>
      </c>
      <c r="S14" s="159"/>
      <c r="T14" s="159" t="s">
        <v>1020</v>
      </c>
      <c r="U14" s="390">
        <f>H14*E14*K8</f>
        <v>0.89287514318442152</v>
      </c>
      <c r="V14" s="163" t="s">
        <v>552</v>
      </c>
      <c r="W14" s="3"/>
      <c r="X14" s="3"/>
      <c r="Y14" s="3"/>
      <c r="Z14" s="3"/>
    </row>
    <row r="15" spans="1:26" ht="36" customHeight="1" x14ac:dyDescent="0.15">
      <c r="A15" s="164">
        <v>3</v>
      </c>
      <c r="B15" s="165" t="s">
        <v>819</v>
      </c>
      <c r="C15" s="165"/>
      <c r="D15" s="165"/>
      <c r="E15" s="165"/>
      <c r="F15" s="165"/>
      <c r="G15" s="166" t="s">
        <v>784</v>
      </c>
      <c r="H15" s="167">
        <v>5.4</v>
      </c>
      <c r="I15" s="165"/>
      <c r="J15" s="166" t="s">
        <v>778</v>
      </c>
      <c r="K15" s="168">
        <v>0.55000000000000004</v>
      </c>
      <c r="L15" s="165"/>
      <c r="M15" s="165" t="s">
        <v>785</v>
      </c>
      <c r="N15" s="161">
        <f>20.4+20*LOG10(H15)+20*LOG10(F8/1000)+10*LOG10(K15)</f>
        <v>25.251187052233579</v>
      </c>
      <c r="O15" s="165" t="s">
        <v>581</v>
      </c>
      <c r="P15" s="165" t="s">
        <v>787</v>
      </c>
      <c r="Q15" s="162">
        <f>21/((F8/1000)*H15)</f>
        <v>8.9092528955071906</v>
      </c>
      <c r="R15" s="165" t="s">
        <v>729</v>
      </c>
      <c r="S15" s="165"/>
      <c r="T15" s="165"/>
      <c r="U15" s="165"/>
      <c r="V15" s="169"/>
      <c r="W15" s="3"/>
      <c r="X15" s="3"/>
      <c r="Y15" s="3"/>
      <c r="Z15" s="3"/>
    </row>
    <row r="16" spans="1:26" ht="36" customHeight="1" thickBot="1" x14ac:dyDescent="0.2">
      <c r="A16" s="141">
        <v>4</v>
      </c>
      <c r="B16" s="142" t="s">
        <v>820</v>
      </c>
      <c r="C16" s="142"/>
      <c r="D16" s="688" t="s">
        <v>803</v>
      </c>
      <c r="E16" s="688"/>
      <c r="F16" s="688" t="s">
        <v>804</v>
      </c>
      <c r="G16" s="689" t="s">
        <v>821</v>
      </c>
      <c r="H16" s="145"/>
      <c r="I16" s="142"/>
      <c r="J16" s="144"/>
      <c r="K16" s="146"/>
      <c r="L16" s="142"/>
      <c r="M16" s="142" t="s">
        <v>785</v>
      </c>
      <c r="N16" s="712">
        <v>18.5</v>
      </c>
      <c r="O16" s="142" t="s">
        <v>581</v>
      </c>
      <c r="P16" s="142" t="s">
        <v>787</v>
      </c>
      <c r="Q16" s="713">
        <v>24</v>
      </c>
      <c r="R16" s="142" t="s">
        <v>729</v>
      </c>
      <c r="S16" s="142" t="s">
        <v>1021</v>
      </c>
      <c r="T16" s="142"/>
      <c r="U16" s="687" t="s">
        <v>418</v>
      </c>
      <c r="V16" s="149" t="s">
        <v>552</v>
      </c>
      <c r="W16" s="3"/>
      <c r="X16" s="3"/>
      <c r="Y16" s="3"/>
      <c r="Z16" s="3"/>
    </row>
    <row r="17" spans="1:26" x14ac:dyDescent="0.15">
      <c r="A17" s="32"/>
      <c r="B17" s="3"/>
      <c r="C17" s="3"/>
      <c r="D17" s="3"/>
      <c r="E17" s="3"/>
      <c r="F17" s="3"/>
      <c r="G17" s="3"/>
      <c r="H17" s="3"/>
      <c r="I17" s="3"/>
      <c r="J17" s="3"/>
      <c r="K17" s="3"/>
      <c r="L17" s="3"/>
      <c r="M17" s="3"/>
      <c r="N17" s="3"/>
      <c r="O17" s="3"/>
      <c r="P17" s="3"/>
      <c r="Q17" s="3"/>
      <c r="R17" s="3"/>
      <c r="S17" s="3"/>
      <c r="T17" s="3"/>
      <c r="U17" s="3"/>
      <c r="V17" s="3"/>
      <c r="W17" s="3"/>
      <c r="X17" s="3"/>
      <c r="Y17" s="3"/>
      <c r="Z17" s="3"/>
    </row>
    <row r="18" spans="1:26" x14ac:dyDescent="0.15">
      <c r="A18" s="32"/>
      <c r="B18" s="3"/>
      <c r="C18" s="3"/>
      <c r="D18" s="3"/>
      <c r="E18" s="3"/>
      <c r="F18" s="3" t="s">
        <v>512</v>
      </c>
      <c r="G18" s="3"/>
      <c r="H18" s="3"/>
      <c r="I18" s="3"/>
      <c r="J18" s="3"/>
      <c r="K18" s="3"/>
      <c r="L18" s="3"/>
      <c r="M18" s="3" t="s">
        <v>512</v>
      </c>
      <c r="N18" s="3"/>
      <c r="O18" s="3"/>
      <c r="P18" s="3"/>
      <c r="Q18" s="3"/>
      <c r="R18" s="3"/>
      <c r="S18" s="3"/>
      <c r="T18" s="3"/>
      <c r="U18" s="3"/>
      <c r="V18" s="3"/>
      <c r="W18" s="3"/>
      <c r="X18" s="3"/>
      <c r="Y18" s="3"/>
      <c r="Z18" s="3"/>
    </row>
    <row r="19" spans="1:26" x14ac:dyDescent="0.15">
      <c r="A19" s="32" t="s">
        <v>512</v>
      </c>
      <c r="B19" s="3"/>
      <c r="C19" s="3"/>
      <c r="D19" s="3"/>
      <c r="E19" s="3"/>
      <c r="F19" s="3"/>
      <c r="G19" s="3"/>
      <c r="H19" s="3"/>
      <c r="I19" s="3"/>
      <c r="J19" s="3"/>
      <c r="K19" s="3"/>
      <c r="L19" s="3"/>
      <c r="M19" s="3"/>
      <c r="N19" s="3"/>
      <c r="O19" s="3"/>
      <c r="P19" s="3"/>
      <c r="Q19" s="3"/>
      <c r="R19" s="3"/>
      <c r="S19" s="3"/>
      <c r="T19" s="3"/>
      <c r="U19" s="3"/>
      <c r="V19" s="3"/>
      <c r="W19" s="3"/>
      <c r="X19" s="3"/>
      <c r="Y19" s="3"/>
      <c r="Z19" s="3"/>
    </row>
    <row r="20" spans="1:26" ht="14" thickBot="1" x14ac:dyDescent="0.2">
      <c r="A20" s="32"/>
      <c r="B20" s="3"/>
      <c r="C20" s="3"/>
      <c r="D20" s="3"/>
      <c r="E20" s="3"/>
      <c r="F20" s="3"/>
      <c r="G20" s="3"/>
      <c r="H20" s="3"/>
      <c r="I20" s="3"/>
      <c r="J20" s="3"/>
      <c r="K20" s="3"/>
      <c r="L20" s="3"/>
      <c r="M20" s="3"/>
      <c r="N20" s="3"/>
      <c r="O20" s="3"/>
      <c r="P20" s="3"/>
      <c r="Q20" s="3"/>
      <c r="R20" s="3"/>
      <c r="S20" s="3"/>
      <c r="T20" s="3"/>
      <c r="U20" s="3"/>
      <c r="V20" s="3"/>
      <c r="W20" s="3"/>
      <c r="X20" s="3"/>
      <c r="Y20" s="3"/>
      <c r="Z20" s="3"/>
    </row>
    <row r="21" spans="1:26" ht="14" thickBot="1" x14ac:dyDescent="0.2">
      <c r="A21" s="32"/>
      <c r="B21" s="187" t="s">
        <v>831</v>
      </c>
      <c r="C21" s="194"/>
      <c r="D21" s="180"/>
      <c r="E21" s="180"/>
      <c r="F21" s="180"/>
      <c r="G21" s="180"/>
      <c r="H21" s="180"/>
      <c r="I21" s="180"/>
      <c r="J21" s="180"/>
      <c r="K21" s="180"/>
      <c r="L21" s="181"/>
      <c r="M21" s="3"/>
      <c r="N21" s="3"/>
      <c r="O21" s="3"/>
      <c r="P21" s="3"/>
      <c r="Q21" s="3"/>
      <c r="R21" s="3"/>
      <c r="S21" s="3"/>
      <c r="T21" s="3"/>
      <c r="U21" s="3"/>
      <c r="V21" s="3"/>
      <c r="W21" s="3"/>
      <c r="X21" s="3"/>
      <c r="Y21" s="3"/>
      <c r="Z21" s="3"/>
    </row>
    <row r="22" spans="1:26" x14ac:dyDescent="0.15">
      <c r="A22" s="32"/>
      <c r="B22" s="177"/>
      <c r="C22" s="137"/>
      <c r="D22" s="138" t="s">
        <v>832</v>
      </c>
      <c r="E22" s="137" t="s">
        <v>550</v>
      </c>
      <c r="F22" s="239">
        <f>F8</f>
        <v>436.5</v>
      </c>
      <c r="G22" s="137" t="s">
        <v>551</v>
      </c>
      <c r="H22" s="137"/>
      <c r="I22" s="137"/>
      <c r="J22" s="137" t="s">
        <v>814</v>
      </c>
      <c r="K22" s="240">
        <f>299.8/F22</f>
        <v>0.6868270332187858</v>
      </c>
      <c r="L22" s="182" t="s">
        <v>552</v>
      </c>
      <c r="M22" s="3" t="s">
        <v>512</v>
      </c>
      <c r="N22" s="3"/>
      <c r="O22" s="3"/>
      <c r="P22" s="3"/>
      <c r="Q22" s="3"/>
      <c r="R22" s="3"/>
      <c r="S22" s="3"/>
      <c r="T22" s="3"/>
      <c r="U22" s="3"/>
      <c r="V22" s="3"/>
      <c r="W22" s="3"/>
      <c r="X22" s="3"/>
      <c r="Y22" s="3"/>
      <c r="Z22" s="3"/>
    </row>
    <row r="23" spans="1:26" ht="14" thickBot="1" x14ac:dyDescent="0.2">
      <c r="A23" s="32"/>
      <c r="B23" s="177"/>
      <c r="C23" s="137"/>
      <c r="D23" s="137" t="s">
        <v>512</v>
      </c>
      <c r="E23" s="137" t="s">
        <v>512</v>
      </c>
      <c r="F23" s="200" t="s">
        <v>669</v>
      </c>
      <c r="G23" s="137"/>
      <c r="H23" s="137"/>
      <c r="I23" s="137"/>
      <c r="J23" s="137"/>
      <c r="K23" s="137"/>
      <c r="L23" s="182"/>
      <c r="M23" s="3"/>
      <c r="N23" s="3"/>
      <c r="O23" s="3"/>
      <c r="P23" s="3"/>
      <c r="Q23" s="3"/>
      <c r="R23" s="3"/>
      <c r="S23" s="3"/>
      <c r="T23" s="3"/>
      <c r="U23" s="3"/>
      <c r="V23" s="3"/>
      <c r="W23" s="3"/>
      <c r="X23" s="3"/>
      <c r="Y23" s="3"/>
      <c r="Z23" s="3"/>
    </row>
    <row r="24" spans="1:26" ht="14" thickBot="1" x14ac:dyDescent="0.2">
      <c r="A24" s="32"/>
      <c r="B24" s="178" t="s">
        <v>512</v>
      </c>
      <c r="C24" s="137"/>
      <c r="D24" s="137"/>
      <c r="E24" s="711">
        <v>3</v>
      </c>
      <c r="F24" s="313" t="str">
        <f>INDEX(B26:B32,E24,1)</f>
        <v>Canted Turnstyle</v>
      </c>
      <c r="G24" s="185"/>
      <c r="H24" s="137"/>
      <c r="I24" s="137"/>
      <c r="J24" s="137" t="s">
        <v>786</v>
      </c>
      <c r="K24" s="396" t="s">
        <v>788</v>
      </c>
      <c r="L24" s="182"/>
      <c r="M24" s="3"/>
      <c r="N24" s="3"/>
      <c r="O24" s="3"/>
      <c r="P24" s="3"/>
      <c r="Q24" s="3"/>
      <c r="R24" s="3"/>
      <c r="S24" s="3"/>
      <c r="T24" s="3"/>
      <c r="U24" s="3"/>
      <c r="V24" s="3"/>
      <c r="W24" s="3"/>
      <c r="X24" s="3"/>
      <c r="Y24" s="3"/>
      <c r="Z24" s="3"/>
    </row>
    <row r="25" spans="1:26" ht="14" thickBot="1" x14ac:dyDescent="0.2">
      <c r="A25" s="214" t="s">
        <v>834</v>
      </c>
      <c r="B25" s="177"/>
      <c r="C25" s="137"/>
      <c r="D25" s="137"/>
      <c r="E25" s="137"/>
      <c r="F25" s="137" t="s">
        <v>512</v>
      </c>
      <c r="G25" s="137"/>
      <c r="H25" s="137"/>
      <c r="I25" s="137"/>
      <c r="J25" s="137"/>
      <c r="K25" s="137"/>
      <c r="L25" s="182"/>
      <c r="M25" s="3"/>
      <c r="N25" s="3"/>
      <c r="O25" s="3"/>
      <c r="P25" s="3"/>
      <c r="Q25" s="3"/>
      <c r="R25" s="3"/>
      <c r="S25" s="3"/>
      <c r="T25" s="3"/>
      <c r="U25" s="3"/>
      <c r="V25" s="3"/>
      <c r="W25" s="3"/>
      <c r="X25" s="3"/>
      <c r="Y25" s="3"/>
      <c r="Z25" s="3"/>
    </row>
    <row r="26" spans="1:26" ht="36" customHeight="1" x14ac:dyDescent="0.15">
      <c r="A26" s="133">
        <v>1</v>
      </c>
      <c r="B26" s="134" t="s">
        <v>823</v>
      </c>
      <c r="C26" s="134"/>
      <c r="D26" s="134"/>
      <c r="E26" s="134"/>
      <c r="F26" s="134"/>
      <c r="G26" s="134" t="s">
        <v>785</v>
      </c>
      <c r="H26" s="199">
        <v>2.15</v>
      </c>
      <c r="I26" s="134" t="s">
        <v>789</v>
      </c>
      <c r="J26" s="134"/>
      <c r="K26" s="134" t="s">
        <v>787</v>
      </c>
      <c r="L26" s="199">
        <v>156.19999999999999</v>
      </c>
      <c r="M26" s="134" t="s">
        <v>729</v>
      </c>
      <c r="N26" s="134" t="s">
        <v>872</v>
      </c>
      <c r="O26" s="134"/>
      <c r="P26" s="134"/>
      <c r="Q26" s="134"/>
      <c r="R26" s="134"/>
      <c r="S26" s="134"/>
      <c r="T26" s="134"/>
      <c r="U26" s="134"/>
      <c r="V26" s="135"/>
      <c r="W26" s="3"/>
      <c r="X26" s="3"/>
      <c r="Y26" s="3"/>
      <c r="Z26" s="3"/>
    </row>
    <row r="27" spans="1:26" ht="36" customHeight="1" x14ac:dyDescent="0.15">
      <c r="A27" s="136">
        <v>2</v>
      </c>
      <c r="B27" s="137" t="s">
        <v>824</v>
      </c>
      <c r="C27" s="137"/>
      <c r="D27" s="137"/>
      <c r="E27" s="137"/>
      <c r="F27" s="137"/>
      <c r="G27" s="137" t="s">
        <v>785</v>
      </c>
      <c r="H27" s="191">
        <v>2.15</v>
      </c>
      <c r="I27" s="137" t="s">
        <v>789</v>
      </c>
      <c r="J27" s="137"/>
      <c r="K27" s="137" t="s">
        <v>787</v>
      </c>
      <c r="L27" s="191">
        <v>156.19999999999999</v>
      </c>
      <c r="M27" s="137" t="s">
        <v>729</v>
      </c>
      <c r="N27" s="137" t="s">
        <v>796</v>
      </c>
      <c r="O27" s="137"/>
      <c r="P27" s="137"/>
      <c r="Q27" s="137"/>
      <c r="R27" s="137"/>
      <c r="S27" s="137"/>
      <c r="T27" s="137"/>
      <c r="U27" s="137"/>
      <c r="V27" s="139"/>
      <c r="W27" s="3"/>
      <c r="X27" s="3"/>
      <c r="Y27" s="3"/>
      <c r="Z27" s="3"/>
    </row>
    <row r="28" spans="1:26" ht="35.25" customHeight="1" x14ac:dyDescent="0.15">
      <c r="A28" s="140">
        <v>3</v>
      </c>
      <c r="B28" s="87" t="s">
        <v>825</v>
      </c>
      <c r="C28" s="87"/>
      <c r="D28" s="87"/>
      <c r="E28" s="87"/>
      <c r="F28" s="87"/>
      <c r="G28" s="87" t="s">
        <v>785</v>
      </c>
      <c r="H28" s="195">
        <v>0</v>
      </c>
      <c r="I28" s="87" t="s">
        <v>581</v>
      </c>
      <c r="J28" s="87" t="s">
        <v>798</v>
      </c>
      <c r="K28" s="87" t="s">
        <v>787</v>
      </c>
      <c r="L28" s="191">
        <v>90</v>
      </c>
      <c r="M28" s="87" t="s">
        <v>729</v>
      </c>
      <c r="N28" s="87" t="s">
        <v>797</v>
      </c>
      <c r="O28" s="87"/>
      <c r="P28" s="87"/>
      <c r="Q28" s="87"/>
      <c r="R28" s="87"/>
      <c r="S28" s="87"/>
      <c r="T28" s="87"/>
      <c r="U28" s="87"/>
      <c r="V28" s="94"/>
      <c r="W28" s="3"/>
      <c r="X28" s="3"/>
      <c r="Y28" s="3"/>
      <c r="Z28" s="3"/>
    </row>
    <row r="29" spans="1:26" ht="36" customHeight="1" x14ac:dyDescent="0.15">
      <c r="A29" s="136">
        <v>4</v>
      </c>
      <c r="B29" s="137" t="s">
        <v>826</v>
      </c>
      <c r="C29" s="137"/>
      <c r="D29" s="192" t="s">
        <v>793</v>
      </c>
      <c r="E29" s="137" t="s">
        <v>794</v>
      </c>
      <c r="F29" s="137"/>
      <c r="G29" s="137" t="s">
        <v>785</v>
      </c>
      <c r="H29" s="195">
        <v>4</v>
      </c>
      <c r="I29" s="137" t="s">
        <v>581</v>
      </c>
      <c r="J29" s="137"/>
      <c r="K29" s="137" t="s">
        <v>787</v>
      </c>
      <c r="L29" s="191">
        <v>150</v>
      </c>
      <c r="M29" s="137" t="s">
        <v>729</v>
      </c>
      <c r="N29" s="137" t="s">
        <v>873</v>
      </c>
      <c r="O29" s="137"/>
      <c r="P29" s="137"/>
      <c r="Q29" s="137"/>
      <c r="R29" s="137"/>
      <c r="S29" s="137"/>
      <c r="T29" s="137"/>
      <c r="U29" s="137"/>
      <c r="V29" s="139"/>
      <c r="W29" s="3"/>
      <c r="X29" s="3"/>
      <c r="Y29" s="3"/>
      <c r="Z29" s="3"/>
    </row>
    <row r="30" spans="1:26" ht="36" customHeight="1" thickBot="1" x14ac:dyDescent="0.2">
      <c r="A30" s="140">
        <v>5</v>
      </c>
      <c r="B30" s="87" t="s">
        <v>932</v>
      </c>
      <c r="C30" s="87"/>
      <c r="D30" s="724" t="s">
        <v>512</v>
      </c>
      <c r="E30" s="87"/>
      <c r="F30" s="87"/>
      <c r="G30" s="87" t="s">
        <v>785</v>
      </c>
      <c r="H30" s="725">
        <v>6</v>
      </c>
      <c r="I30" s="87" t="s">
        <v>88</v>
      </c>
      <c r="J30" s="87"/>
      <c r="K30" s="87" t="s">
        <v>787</v>
      </c>
      <c r="L30" s="726">
        <v>90</v>
      </c>
      <c r="M30" s="87" t="s">
        <v>729</v>
      </c>
      <c r="N30" s="87" t="s">
        <v>933</v>
      </c>
      <c r="O30" s="87"/>
      <c r="P30" s="87"/>
      <c r="Q30" s="87"/>
      <c r="R30" s="87"/>
      <c r="S30" s="87"/>
      <c r="T30" s="87"/>
      <c r="U30" s="87"/>
      <c r="V30" s="94"/>
      <c r="W30" s="3"/>
      <c r="X30" s="3"/>
      <c r="Y30" s="3"/>
      <c r="Z30" s="3"/>
    </row>
    <row r="31" spans="1:26" ht="36" customHeight="1" thickBot="1" x14ac:dyDescent="0.2">
      <c r="A31" s="136">
        <v>6</v>
      </c>
      <c r="B31" s="137" t="s">
        <v>819</v>
      </c>
      <c r="C31" s="137"/>
      <c r="D31" s="727"/>
      <c r="E31" s="137"/>
      <c r="F31" s="137"/>
      <c r="G31" s="137" t="s">
        <v>785</v>
      </c>
      <c r="H31" s="728">
        <f>20.4+20*LOG10(T31)+20*LOG10(F8/1000)+10*LOG10(V31)</f>
        <v>25.251187052233579</v>
      </c>
      <c r="I31" s="137" t="s">
        <v>88</v>
      </c>
      <c r="J31" s="137"/>
      <c r="K31" s="137" t="s">
        <v>787</v>
      </c>
      <c r="L31" s="728">
        <f>21/((F8/1000)*T31)</f>
        <v>8.9092528955071906</v>
      </c>
      <c r="M31" s="137" t="s">
        <v>729</v>
      </c>
      <c r="N31" s="137" t="s">
        <v>934</v>
      </c>
      <c r="O31" s="137"/>
      <c r="P31" s="137"/>
      <c r="Q31" s="137"/>
      <c r="R31" s="137"/>
      <c r="S31" s="747" t="s">
        <v>441</v>
      </c>
      <c r="T31" s="744">
        <v>5.4</v>
      </c>
      <c r="U31" s="748" t="s">
        <v>442</v>
      </c>
      <c r="V31" s="745">
        <v>0.55000000000000004</v>
      </c>
      <c r="W31" s="3"/>
      <c r="X31" s="3"/>
      <c r="Y31" s="3"/>
      <c r="Z31" s="3"/>
    </row>
    <row r="32" spans="1:26" ht="36" customHeight="1" thickBot="1" x14ac:dyDescent="0.2">
      <c r="A32" s="198">
        <v>7</v>
      </c>
      <c r="B32" s="196" t="s">
        <v>827</v>
      </c>
      <c r="C32" s="196"/>
      <c r="D32" s="286" t="s">
        <v>665</v>
      </c>
      <c r="E32" s="196"/>
      <c r="F32" s="196"/>
      <c r="G32" s="196" t="s">
        <v>785</v>
      </c>
      <c r="H32" s="713">
        <v>0</v>
      </c>
      <c r="I32" s="196" t="s">
        <v>762</v>
      </c>
      <c r="J32" s="196"/>
      <c r="K32" s="196" t="s">
        <v>787</v>
      </c>
      <c r="L32" s="688">
        <v>360</v>
      </c>
      <c r="M32" s="87" t="s">
        <v>729</v>
      </c>
      <c r="N32" s="196" t="s">
        <v>935</v>
      </c>
      <c r="O32" s="196"/>
      <c r="P32" s="196"/>
      <c r="Q32" s="196"/>
      <c r="R32" s="196"/>
      <c r="S32" s="196"/>
      <c r="T32" s="196"/>
      <c r="U32" s="196"/>
      <c r="V32" s="197"/>
      <c r="W32" s="3"/>
      <c r="X32" s="3"/>
      <c r="Y32" s="3"/>
      <c r="Z32" s="3"/>
    </row>
    <row r="33" spans="1:26" ht="14" thickBot="1" x14ac:dyDescent="0.2">
      <c r="A33" s="201"/>
      <c r="B33" s="202"/>
      <c r="C33" s="202"/>
      <c r="D33" s="202"/>
      <c r="E33" s="202"/>
      <c r="F33" s="202"/>
      <c r="G33" s="202"/>
      <c r="H33" s="202"/>
      <c r="I33" s="202"/>
      <c r="J33" s="202"/>
      <c r="K33" s="202"/>
      <c r="L33" s="202"/>
      <c r="M33" s="202"/>
      <c r="N33" s="202"/>
      <c r="O33" s="202"/>
      <c r="P33" s="202"/>
      <c r="Q33" s="202"/>
      <c r="R33" s="202"/>
      <c r="S33" s="202"/>
      <c r="T33" s="202"/>
      <c r="U33" s="202"/>
      <c r="V33" s="202"/>
      <c r="W33" s="3"/>
      <c r="X33" s="3"/>
      <c r="Y33" s="3"/>
      <c r="Z33" s="3"/>
    </row>
    <row r="34" spans="1:26" ht="17" thickBot="1" x14ac:dyDescent="0.25">
      <c r="A34" s="237"/>
      <c r="B34" s="237"/>
      <c r="C34" s="238" t="s">
        <v>829</v>
      </c>
      <c r="D34" s="237"/>
      <c r="E34" s="237"/>
      <c r="F34" s="237"/>
      <c r="G34" s="237"/>
      <c r="H34" s="237"/>
      <c r="I34" s="237"/>
      <c r="J34" s="238" t="s">
        <v>830</v>
      </c>
      <c r="K34" s="237"/>
      <c r="L34" s="237"/>
      <c r="M34" s="121"/>
      <c r="N34" s="121"/>
      <c r="O34" s="121"/>
      <c r="P34" s="121"/>
      <c r="Q34" s="121"/>
      <c r="R34" s="121"/>
      <c r="S34" s="121"/>
      <c r="T34" s="121"/>
      <c r="U34" s="121"/>
      <c r="V34" s="407"/>
      <c r="W34" s="3"/>
      <c r="X34" s="3"/>
      <c r="Y34" s="3"/>
      <c r="Z34" s="3"/>
    </row>
    <row r="35" spans="1:26" x14ac:dyDescent="0.15">
      <c r="A35" s="3"/>
      <c r="B35" s="3"/>
      <c r="C35" s="3"/>
      <c r="D35" s="3"/>
      <c r="E35" s="3"/>
      <c r="F35" s="3"/>
      <c r="G35" s="3"/>
      <c r="H35" s="3"/>
      <c r="I35" s="3"/>
      <c r="J35" s="3"/>
      <c r="K35" s="3" t="s">
        <v>512</v>
      </c>
      <c r="L35" s="3"/>
      <c r="M35" s="3"/>
      <c r="N35" s="3"/>
      <c r="O35" s="3"/>
      <c r="P35" s="3"/>
      <c r="Q35" s="3"/>
      <c r="R35" s="3"/>
      <c r="S35" s="3"/>
      <c r="T35" s="3"/>
      <c r="U35" s="3"/>
      <c r="V35" s="3"/>
      <c r="W35" s="3"/>
      <c r="X35" s="3"/>
      <c r="Y35" s="3"/>
      <c r="Z35" s="3"/>
    </row>
    <row r="36" spans="1:26" ht="16" x14ac:dyDescent="0.2">
      <c r="A36" s="188" t="s">
        <v>828</v>
      </c>
      <c r="B36" s="189"/>
      <c r="C36" s="189"/>
      <c r="D36" s="190"/>
      <c r="E36" s="3"/>
      <c r="F36" s="3"/>
      <c r="G36" s="3"/>
      <c r="H36" s="3" t="s">
        <v>512</v>
      </c>
      <c r="I36" s="3"/>
      <c r="J36" s="3"/>
      <c r="K36" s="3"/>
      <c r="L36" s="3"/>
      <c r="M36" s="3"/>
      <c r="N36" s="3"/>
      <c r="O36" s="3"/>
      <c r="P36" s="3"/>
      <c r="Q36" s="3"/>
      <c r="R36" s="3"/>
      <c r="S36" s="3"/>
      <c r="T36" s="3"/>
      <c r="U36" s="3"/>
      <c r="V36" s="3"/>
      <c r="W36" s="3"/>
      <c r="X36" s="3"/>
      <c r="Y36" s="3"/>
      <c r="Z36" s="3"/>
    </row>
    <row r="37" spans="1:26" ht="14" thickBot="1" x14ac:dyDescent="0.2">
      <c r="A37" s="3"/>
      <c r="B37" s="3"/>
      <c r="C37" s="3"/>
      <c r="D37" s="3"/>
      <c r="E37" s="3"/>
      <c r="F37" s="3" t="s">
        <v>512</v>
      </c>
      <c r="G37" s="3"/>
      <c r="H37" s="3"/>
      <c r="I37" s="3"/>
      <c r="J37" s="3"/>
      <c r="K37" s="3"/>
      <c r="L37" s="3"/>
      <c r="M37" s="3"/>
      <c r="N37" s="3"/>
      <c r="O37" s="3"/>
      <c r="P37" s="3"/>
      <c r="Q37" s="3"/>
      <c r="R37" s="3"/>
      <c r="S37" s="3"/>
      <c r="T37" s="3"/>
      <c r="U37" s="3"/>
      <c r="V37" s="3"/>
      <c r="W37" s="3"/>
      <c r="X37" s="3"/>
      <c r="Y37" s="3"/>
      <c r="Z37" s="3"/>
    </row>
    <row r="38" spans="1:26" ht="14" thickBot="1" x14ac:dyDescent="0.2">
      <c r="A38" s="32"/>
      <c r="B38" s="187" t="s">
        <v>562</v>
      </c>
      <c r="C38" s="194"/>
      <c r="D38" s="180"/>
      <c r="E38" s="180"/>
      <c r="F38" s="180"/>
      <c r="G38" s="180"/>
      <c r="H38" s="180"/>
      <c r="I38" s="180"/>
      <c r="J38" s="180"/>
      <c r="K38" s="180"/>
      <c r="L38" s="181"/>
      <c r="M38" s="3"/>
      <c r="N38" s="3" t="s">
        <v>512</v>
      </c>
      <c r="O38" s="3"/>
      <c r="P38" s="3"/>
      <c r="Q38" s="3"/>
      <c r="R38" s="3"/>
      <c r="S38" s="3"/>
      <c r="T38" s="3"/>
      <c r="U38" s="3"/>
      <c r="V38" s="3"/>
      <c r="W38" s="3"/>
      <c r="X38" s="3"/>
      <c r="Y38" s="3"/>
      <c r="Z38" s="3"/>
    </row>
    <row r="39" spans="1:26" x14ac:dyDescent="0.15">
      <c r="A39" s="32"/>
      <c r="B39" s="177"/>
      <c r="C39" s="137"/>
      <c r="D39" s="137" t="s">
        <v>739</v>
      </c>
      <c r="E39" s="137" t="s">
        <v>550</v>
      </c>
      <c r="F39" s="239">
        <f>Frequency!M16</f>
        <v>436.5</v>
      </c>
      <c r="G39" s="137" t="s">
        <v>551</v>
      </c>
      <c r="H39" s="137"/>
      <c r="I39" s="137"/>
      <c r="J39" s="137" t="s">
        <v>814</v>
      </c>
      <c r="K39" s="240">
        <f>299.8/F39</f>
        <v>0.6868270332187858</v>
      </c>
      <c r="L39" s="182" t="s">
        <v>552</v>
      </c>
      <c r="M39" s="3"/>
      <c r="N39" s="3"/>
      <c r="O39" s="3"/>
      <c r="P39" s="3"/>
      <c r="Q39" s="3"/>
      <c r="R39" s="3"/>
      <c r="S39" s="3"/>
      <c r="T39" s="3"/>
      <c r="U39" s="3"/>
      <c r="V39" s="3"/>
      <c r="W39" s="3"/>
      <c r="X39" s="3"/>
      <c r="Y39" s="3"/>
      <c r="Z39" s="3"/>
    </row>
    <row r="40" spans="1:26" ht="14" thickBot="1" x14ac:dyDescent="0.2">
      <c r="A40" s="32"/>
      <c r="B40" s="177"/>
      <c r="C40" s="137"/>
      <c r="D40" s="137"/>
      <c r="E40" s="137"/>
      <c r="F40" s="200" t="s">
        <v>837</v>
      </c>
      <c r="G40" s="137"/>
      <c r="H40" s="137"/>
      <c r="I40" s="137"/>
      <c r="J40" s="137"/>
      <c r="K40" s="137"/>
      <c r="L40" s="182"/>
      <c r="M40" s="3"/>
      <c r="N40" s="3"/>
      <c r="O40" s="3"/>
      <c r="P40" s="3"/>
      <c r="Q40" s="3"/>
      <c r="R40" s="3"/>
      <c r="S40" s="3"/>
      <c r="T40" s="3"/>
      <c r="U40" s="3"/>
      <c r="V40" s="3"/>
      <c r="W40" s="3"/>
      <c r="X40" s="3"/>
      <c r="Y40" s="3"/>
      <c r="Z40" s="3"/>
    </row>
    <row r="41" spans="1:26" ht="14" thickBot="1" x14ac:dyDescent="0.2">
      <c r="A41" s="32"/>
      <c r="B41" s="178" t="s">
        <v>512</v>
      </c>
      <c r="C41" s="137"/>
      <c r="D41" s="137"/>
      <c r="E41" s="711">
        <v>3</v>
      </c>
      <c r="F41" s="313" t="str">
        <f>INDEX(B43:B49,E41,1)</f>
        <v>Canted Turnstyle</v>
      </c>
      <c r="G41" s="185"/>
      <c r="H41" s="137"/>
      <c r="I41" s="137"/>
      <c r="J41" s="137" t="s">
        <v>786</v>
      </c>
      <c r="K41" s="396" t="s">
        <v>788</v>
      </c>
      <c r="L41" s="182"/>
      <c r="M41" s="3"/>
      <c r="N41" s="3"/>
      <c r="O41" s="3"/>
      <c r="P41" s="3"/>
      <c r="Q41" s="3"/>
      <c r="R41" s="3"/>
      <c r="S41" s="3"/>
      <c r="T41" s="3"/>
      <c r="U41" s="3"/>
      <c r="V41" s="3"/>
      <c r="W41" s="3"/>
      <c r="X41" s="3"/>
      <c r="Y41" s="3"/>
      <c r="Z41" s="3"/>
    </row>
    <row r="42" spans="1:26" ht="14" thickBot="1" x14ac:dyDescent="0.2">
      <c r="A42" s="214" t="s">
        <v>834</v>
      </c>
      <c r="B42" s="177"/>
      <c r="C42" s="137"/>
      <c r="D42" s="137"/>
      <c r="E42" s="137"/>
      <c r="F42" s="137" t="s">
        <v>512</v>
      </c>
      <c r="G42" s="137"/>
      <c r="H42" s="137"/>
      <c r="I42" s="137"/>
      <c r="J42" s="137"/>
      <c r="K42" s="137"/>
      <c r="L42" s="182"/>
      <c r="M42" s="3"/>
      <c r="N42" s="3"/>
      <c r="O42" s="3"/>
      <c r="P42" s="3"/>
      <c r="Q42" s="3"/>
      <c r="R42" s="3"/>
      <c r="S42" s="3"/>
      <c r="T42" s="3"/>
      <c r="U42" s="3"/>
      <c r="V42" s="3"/>
      <c r="W42" s="3"/>
      <c r="X42" s="3"/>
      <c r="Y42" s="3"/>
      <c r="Z42" s="3"/>
    </row>
    <row r="43" spans="1:26" ht="36" customHeight="1" x14ac:dyDescent="0.15">
      <c r="A43" s="133">
        <v>1</v>
      </c>
      <c r="B43" s="134" t="s">
        <v>823</v>
      </c>
      <c r="C43" s="134"/>
      <c r="D43" s="134"/>
      <c r="E43" s="134"/>
      <c r="F43" s="134"/>
      <c r="G43" s="134" t="s">
        <v>785</v>
      </c>
      <c r="H43" s="199">
        <v>2.15</v>
      </c>
      <c r="I43" s="134" t="s">
        <v>789</v>
      </c>
      <c r="J43" s="134"/>
      <c r="K43" s="134" t="s">
        <v>787</v>
      </c>
      <c r="L43" s="199">
        <v>156.19999999999999</v>
      </c>
      <c r="M43" s="134" t="s">
        <v>729</v>
      </c>
      <c r="N43" s="134" t="s">
        <v>815</v>
      </c>
      <c r="O43" s="134"/>
      <c r="P43" s="134"/>
      <c r="Q43" s="134"/>
      <c r="R43" s="134"/>
      <c r="S43" s="134"/>
      <c r="T43" s="134"/>
      <c r="U43" s="134"/>
      <c r="V43" s="135"/>
      <c r="W43" s="3"/>
      <c r="X43" s="3"/>
      <c r="Y43" s="3"/>
      <c r="Z43" s="3"/>
    </row>
    <row r="44" spans="1:26" ht="36" customHeight="1" x14ac:dyDescent="0.15">
      <c r="A44" s="136">
        <v>2</v>
      </c>
      <c r="B44" s="137" t="s">
        <v>824</v>
      </c>
      <c r="C44" s="137"/>
      <c r="D44" s="137"/>
      <c r="E44" s="137"/>
      <c r="F44" s="137"/>
      <c r="G44" s="137" t="s">
        <v>785</v>
      </c>
      <c r="H44" s="191">
        <v>2.15</v>
      </c>
      <c r="I44" s="137" t="s">
        <v>789</v>
      </c>
      <c r="J44" s="137"/>
      <c r="K44" s="137" t="s">
        <v>787</v>
      </c>
      <c r="L44" s="191">
        <v>156.19999999999999</v>
      </c>
      <c r="M44" s="137" t="s">
        <v>729</v>
      </c>
      <c r="N44" s="137" t="s">
        <v>796</v>
      </c>
      <c r="O44" s="137"/>
      <c r="P44" s="137"/>
      <c r="Q44" s="137"/>
      <c r="R44" s="137"/>
      <c r="S44" s="137"/>
      <c r="T44" s="137"/>
      <c r="U44" s="137"/>
      <c r="V44" s="139"/>
      <c r="W44" s="3"/>
      <c r="X44" s="3"/>
      <c r="Y44" s="3"/>
      <c r="Z44" s="3"/>
    </row>
    <row r="45" spans="1:26" ht="36" customHeight="1" x14ac:dyDescent="0.15">
      <c r="A45" s="140">
        <v>3</v>
      </c>
      <c r="B45" s="87" t="s">
        <v>825</v>
      </c>
      <c r="C45" s="87"/>
      <c r="D45" s="87"/>
      <c r="E45" s="87"/>
      <c r="F45" s="87"/>
      <c r="G45" s="87" t="s">
        <v>785</v>
      </c>
      <c r="H45" s="195">
        <v>0</v>
      </c>
      <c r="I45" s="87" t="s">
        <v>581</v>
      </c>
      <c r="J45" s="87" t="s">
        <v>798</v>
      </c>
      <c r="K45" s="87" t="s">
        <v>787</v>
      </c>
      <c r="L45" s="191">
        <v>90</v>
      </c>
      <c r="M45" s="87" t="s">
        <v>729</v>
      </c>
      <c r="N45" s="87" t="s">
        <v>797</v>
      </c>
      <c r="O45" s="87"/>
      <c r="P45" s="87"/>
      <c r="Q45" s="87"/>
      <c r="R45" s="87"/>
      <c r="S45" s="87"/>
      <c r="T45" s="87"/>
      <c r="U45" s="87"/>
      <c r="V45" s="94"/>
      <c r="W45" s="3"/>
      <c r="X45" s="3"/>
      <c r="Y45" s="3"/>
      <c r="Z45" s="3"/>
    </row>
    <row r="46" spans="1:26" ht="36" customHeight="1" x14ac:dyDescent="0.15">
      <c r="A46" s="136">
        <v>4</v>
      </c>
      <c r="B46" s="137" t="s">
        <v>826</v>
      </c>
      <c r="C46" s="137"/>
      <c r="D46" s="192" t="s">
        <v>793</v>
      </c>
      <c r="E46" s="137" t="s">
        <v>794</v>
      </c>
      <c r="F46" s="137"/>
      <c r="G46" s="137" t="s">
        <v>785</v>
      </c>
      <c r="H46" s="195">
        <v>4</v>
      </c>
      <c r="I46" s="137" t="s">
        <v>581</v>
      </c>
      <c r="J46" s="137"/>
      <c r="K46" s="137" t="s">
        <v>787</v>
      </c>
      <c r="L46" s="191">
        <v>150</v>
      </c>
      <c r="M46" s="137" t="s">
        <v>729</v>
      </c>
      <c r="N46" s="137" t="s">
        <v>795</v>
      </c>
      <c r="O46" s="137"/>
      <c r="P46" s="137"/>
      <c r="Q46" s="137"/>
      <c r="R46" s="137"/>
      <c r="S46" s="137"/>
      <c r="T46" s="137"/>
      <c r="U46" s="137"/>
      <c r="V46" s="139"/>
      <c r="W46" s="3"/>
      <c r="X46" s="3"/>
      <c r="Y46" s="3"/>
      <c r="Z46" s="3"/>
    </row>
    <row r="47" spans="1:26" ht="36" customHeight="1" thickBot="1" x14ac:dyDescent="0.2">
      <c r="A47" s="140">
        <v>5</v>
      </c>
      <c r="B47" s="87" t="s">
        <v>827</v>
      </c>
      <c r="C47" s="87"/>
      <c r="D47" s="724" t="s">
        <v>864</v>
      </c>
      <c r="E47" s="87"/>
      <c r="F47" s="87"/>
      <c r="G47" s="87" t="s">
        <v>785</v>
      </c>
      <c r="H47" s="742">
        <v>6</v>
      </c>
      <c r="I47" s="87" t="s">
        <v>88</v>
      </c>
      <c r="J47" s="87"/>
      <c r="K47" s="87" t="s">
        <v>787</v>
      </c>
      <c r="L47" s="743">
        <v>90</v>
      </c>
      <c r="M47" s="87" t="s">
        <v>729</v>
      </c>
      <c r="N47" s="87" t="s">
        <v>795</v>
      </c>
      <c r="O47" s="87"/>
      <c r="P47" s="87"/>
      <c r="Q47" s="87"/>
      <c r="R47" s="87"/>
      <c r="S47" s="87"/>
      <c r="T47" s="87"/>
      <c r="U47" s="87"/>
      <c r="V47" s="94"/>
      <c r="W47" s="3"/>
      <c r="X47" s="3"/>
      <c r="Y47" s="3"/>
      <c r="Z47" s="3"/>
    </row>
    <row r="48" spans="1:26" ht="36" customHeight="1" thickBot="1" x14ac:dyDescent="0.2">
      <c r="A48" s="136">
        <v>6</v>
      </c>
      <c r="B48" s="137" t="s">
        <v>819</v>
      </c>
      <c r="C48" s="137"/>
      <c r="D48" s="727"/>
      <c r="E48" s="137"/>
      <c r="F48" s="137"/>
      <c r="G48" s="137" t="s">
        <v>785</v>
      </c>
      <c r="H48" s="728">
        <f>20.4+20*LOG10(T48)+20*LOG10(F39/1000)+10*LOG10(V48)</f>
        <v>16.62391176905383</v>
      </c>
      <c r="I48" s="137" t="s">
        <v>88</v>
      </c>
      <c r="J48" s="137"/>
      <c r="K48" s="137" t="s">
        <v>787</v>
      </c>
      <c r="L48" s="728">
        <f>21/((F39/1000)*T48)</f>
        <v>24.054982817869416</v>
      </c>
      <c r="M48" s="137" t="s">
        <v>729</v>
      </c>
      <c r="N48" s="137" t="s">
        <v>934</v>
      </c>
      <c r="O48" s="137"/>
      <c r="P48" s="137"/>
      <c r="Q48" s="137"/>
      <c r="R48" s="137"/>
      <c r="S48" s="746" t="s">
        <v>441</v>
      </c>
      <c r="T48" s="744">
        <v>2</v>
      </c>
      <c r="U48" s="748" t="s">
        <v>442</v>
      </c>
      <c r="V48" s="745">
        <v>0.55000000000000004</v>
      </c>
      <c r="W48" s="3"/>
      <c r="X48" s="3"/>
      <c r="Y48" s="3"/>
      <c r="Z48" s="3"/>
    </row>
    <row r="49" spans="1:26" ht="36" customHeight="1" thickBot="1" x14ac:dyDescent="0.2">
      <c r="A49" s="198">
        <v>7</v>
      </c>
      <c r="B49" s="196" t="s">
        <v>827</v>
      </c>
      <c r="C49" s="196"/>
      <c r="D49" s="286" t="s">
        <v>665</v>
      </c>
      <c r="E49" s="196"/>
      <c r="F49" s="196"/>
      <c r="G49" s="196" t="s">
        <v>785</v>
      </c>
      <c r="H49" s="713">
        <v>0</v>
      </c>
      <c r="I49" s="196" t="s">
        <v>762</v>
      </c>
      <c r="J49" s="196"/>
      <c r="K49" s="196" t="s">
        <v>787</v>
      </c>
      <c r="L49" s="688">
        <v>360</v>
      </c>
      <c r="M49" s="196" t="s">
        <v>729</v>
      </c>
      <c r="N49" s="196" t="s">
        <v>935</v>
      </c>
      <c r="O49" s="196"/>
      <c r="P49" s="196"/>
      <c r="Q49" s="196"/>
      <c r="R49" s="196"/>
      <c r="S49" s="196"/>
      <c r="T49" s="196"/>
      <c r="U49" s="196"/>
      <c r="V49" s="197"/>
      <c r="W49" s="3"/>
      <c r="X49" s="3"/>
      <c r="Y49" s="3"/>
      <c r="Z49" s="3"/>
    </row>
    <row r="50" spans="1:26" x14ac:dyDescent="0.1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x14ac:dyDescent="0.1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x14ac:dyDescent="0.1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 thickBo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 thickBot="1" x14ac:dyDescent="0.2">
      <c r="A54" s="3"/>
      <c r="B54" s="187" t="s">
        <v>822</v>
      </c>
      <c r="C54" s="186"/>
      <c r="D54" s="180"/>
      <c r="E54" s="180"/>
      <c r="F54" s="180"/>
      <c r="G54" s="180"/>
      <c r="H54" s="180"/>
      <c r="I54" s="180"/>
      <c r="J54" s="180"/>
      <c r="K54" s="180"/>
      <c r="L54" s="181"/>
      <c r="M54" s="3"/>
      <c r="N54" s="3"/>
      <c r="O54" s="3"/>
      <c r="P54" s="3"/>
      <c r="Q54" s="3"/>
      <c r="R54" s="3"/>
      <c r="S54" s="3"/>
      <c r="T54" s="3"/>
      <c r="U54" s="3"/>
      <c r="V54" s="3"/>
      <c r="W54" s="3"/>
      <c r="X54" s="3"/>
      <c r="Y54" s="3"/>
      <c r="Z54" s="3"/>
    </row>
    <row r="55" spans="1:26" x14ac:dyDescent="0.15">
      <c r="A55" s="236"/>
      <c r="B55" s="211" t="s">
        <v>512</v>
      </c>
      <c r="C55" s="211"/>
      <c r="D55" s="324" t="s">
        <v>739</v>
      </c>
      <c r="E55" s="212" t="s">
        <v>550</v>
      </c>
      <c r="F55" s="241">
        <f>F39</f>
        <v>436.5</v>
      </c>
      <c r="G55" s="137" t="s">
        <v>551</v>
      </c>
      <c r="H55" s="137"/>
      <c r="I55" s="137"/>
      <c r="J55" s="137" t="s">
        <v>814</v>
      </c>
      <c r="K55" s="242">
        <f>299.8/F55</f>
        <v>0.6868270332187858</v>
      </c>
      <c r="L55" s="182" t="s">
        <v>552</v>
      </c>
      <c r="M55" s="3"/>
      <c r="N55" s="3"/>
      <c r="O55" s="3"/>
      <c r="P55" s="3"/>
      <c r="Q55" s="3"/>
      <c r="R55" s="3"/>
      <c r="S55" s="3"/>
      <c r="T55" s="3"/>
      <c r="U55" s="3"/>
      <c r="V55" s="3"/>
      <c r="W55" s="3"/>
      <c r="X55" s="3"/>
      <c r="Y55" s="3"/>
      <c r="Z55" s="3"/>
    </row>
    <row r="56" spans="1:26" x14ac:dyDescent="0.15">
      <c r="A56" s="3"/>
      <c r="B56" s="177"/>
      <c r="C56" s="137"/>
      <c r="D56" s="137"/>
      <c r="E56" s="137"/>
      <c r="F56" s="137"/>
      <c r="G56" s="137"/>
      <c r="H56" s="137"/>
      <c r="I56" s="137"/>
      <c r="J56" s="137"/>
      <c r="K56" s="137"/>
      <c r="L56" s="182"/>
      <c r="M56" s="3"/>
      <c r="N56" s="3"/>
      <c r="O56" s="3"/>
      <c r="P56" s="3"/>
      <c r="Q56" s="3"/>
      <c r="R56" s="3"/>
      <c r="S56" s="3"/>
      <c r="T56" s="3"/>
      <c r="U56" s="3"/>
      <c r="V56" s="3"/>
      <c r="W56" s="3"/>
      <c r="X56" s="3"/>
      <c r="Y56" s="3"/>
      <c r="Z56" s="3"/>
    </row>
    <row r="57" spans="1:26" ht="14" thickBot="1" x14ac:dyDescent="0.2">
      <c r="A57" s="32"/>
      <c r="B57" s="177"/>
      <c r="C57" s="137"/>
      <c r="D57" s="137"/>
      <c r="E57" s="137"/>
      <c r="F57" s="200" t="s">
        <v>835</v>
      </c>
      <c r="G57" s="137"/>
      <c r="H57" s="137"/>
      <c r="I57" s="137"/>
      <c r="J57" s="137"/>
      <c r="K57" s="137"/>
      <c r="L57" s="182"/>
      <c r="M57" s="3"/>
      <c r="N57" s="3"/>
      <c r="O57" s="3"/>
      <c r="P57" s="3"/>
      <c r="Q57" s="3"/>
      <c r="R57" s="3"/>
      <c r="S57" s="3"/>
      <c r="T57" s="3"/>
      <c r="U57" s="3"/>
      <c r="V57" s="3"/>
      <c r="W57" s="3"/>
      <c r="X57" s="3"/>
      <c r="Y57" s="3"/>
      <c r="Z57" s="3"/>
    </row>
    <row r="58" spans="1:26" ht="14" thickBot="1" x14ac:dyDescent="0.2">
      <c r="A58" s="32"/>
      <c r="B58" s="178" t="s">
        <v>512</v>
      </c>
      <c r="C58" s="137"/>
      <c r="D58" s="137"/>
      <c r="E58" s="711">
        <v>1</v>
      </c>
      <c r="F58" s="710" t="str">
        <f>INDEX(B60:B63,E58,1)</f>
        <v>Yagi</v>
      </c>
      <c r="G58" s="185"/>
      <c r="H58" s="137"/>
      <c r="I58" s="137"/>
      <c r="J58" s="137" t="s">
        <v>786</v>
      </c>
      <c r="K58" s="396" t="s">
        <v>788</v>
      </c>
      <c r="L58" s="182"/>
      <c r="M58" s="3"/>
      <c r="N58" s="3"/>
      <c r="O58" s="3"/>
      <c r="P58" s="3"/>
      <c r="Q58" s="3"/>
      <c r="R58" s="3"/>
      <c r="S58" s="3"/>
      <c r="T58" s="3"/>
      <c r="U58" s="3"/>
      <c r="V58" s="3"/>
      <c r="W58" s="3"/>
      <c r="X58" s="3"/>
      <c r="Y58" s="3"/>
      <c r="Z58" s="3"/>
    </row>
    <row r="59" spans="1:26" ht="14" thickBot="1" x14ac:dyDescent="0.2">
      <c r="A59" s="400" t="s">
        <v>834</v>
      </c>
      <c r="B59" s="233"/>
      <c r="C59" s="234"/>
      <c r="D59" s="234"/>
      <c r="E59" s="234"/>
      <c r="F59" s="234"/>
      <c r="G59" s="234"/>
      <c r="H59" s="234"/>
      <c r="I59" s="234"/>
      <c r="J59" s="234"/>
      <c r="K59" s="234"/>
      <c r="L59" s="235"/>
      <c r="M59" s="3"/>
      <c r="N59" s="3"/>
      <c r="O59" s="3"/>
      <c r="P59" s="3"/>
      <c r="Q59" s="3"/>
      <c r="R59" s="3"/>
      <c r="S59" s="3"/>
      <c r="T59" s="3"/>
      <c r="U59" s="3"/>
      <c r="V59" s="3"/>
      <c r="W59" s="3"/>
      <c r="X59" s="3"/>
      <c r="Y59" s="3"/>
      <c r="Z59" s="3"/>
    </row>
    <row r="60" spans="1:26" ht="36" customHeight="1" x14ac:dyDescent="0.15">
      <c r="A60" s="175">
        <v>1</v>
      </c>
      <c r="B60" s="170" t="s">
        <v>804</v>
      </c>
      <c r="C60" s="170"/>
      <c r="D60" s="171" t="s">
        <v>799</v>
      </c>
      <c r="E60" s="172">
        <v>5</v>
      </c>
      <c r="F60" s="170"/>
      <c r="G60" s="171" t="s">
        <v>801</v>
      </c>
      <c r="H60" s="173">
        <f>IF(E60&lt;$B$72,"too short!",INDEX($D$72:$D$110,MATCH(E60,$B$72:$B$110,1),1))</f>
        <v>16</v>
      </c>
      <c r="I60" s="170" t="s">
        <v>800</v>
      </c>
      <c r="J60" s="174" t="s">
        <v>813</v>
      </c>
      <c r="K60" s="170"/>
      <c r="L60" s="170"/>
      <c r="M60" s="151" t="s">
        <v>802</v>
      </c>
      <c r="N60" s="152">
        <f>IF(E60&lt;$B$72,"too short!",INDEX($F$72:$F$110,MATCH(E60,$B$72:$B$110,1),1))</f>
        <v>18.649999999999999</v>
      </c>
      <c r="O60" s="150" t="s">
        <v>581</v>
      </c>
      <c r="P60" s="150" t="s">
        <v>787</v>
      </c>
      <c r="Q60" s="153">
        <f>SQRT(40000/(10^(N60/10)))</f>
        <v>23.363074597226493</v>
      </c>
      <c r="R60" s="150" t="s">
        <v>729</v>
      </c>
      <c r="S60" s="150" t="s">
        <v>816</v>
      </c>
      <c r="T60" s="150"/>
      <c r="U60" s="154">
        <f>K55*E60</f>
        <v>3.4341351660939292</v>
      </c>
      <c r="V60" s="155" t="s">
        <v>552</v>
      </c>
      <c r="W60" s="3"/>
      <c r="X60" s="3"/>
      <c r="Y60" s="3"/>
      <c r="Z60" s="3"/>
    </row>
    <row r="61" spans="1:26" ht="35.25" customHeight="1" x14ac:dyDescent="0.15">
      <c r="A61" s="156">
        <v>2</v>
      </c>
      <c r="B61" s="157" t="s">
        <v>818</v>
      </c>
      <c r="C61" s="157"/>
      <c r="D61" s="157" t="s">
        <v>791</v>
      </c>
      <c r="E61" s="158">
        <v>10.5</v>
      </c>
      <c r="F61" s="157"/>
      <c r="G61" s="159" t="s">
        <v>792</v>
      </c>
      <c r="H61" s="158">
        <v>0.25</v>
      </c>
      <c r="I61" s="157"/>
      <c r="J61" s="159" t="s">
        <v>790</v>
      </c>
      <c r="K61" s="160">
        <v>1</v>
      </c>
      <c r="L61" s="157"/>
      <c r="M61" s="157" t="s">
        <v>785</v>
      </c>
      <c r="N61" s="161">
        <f>10*LOG10(15*K61^2*E61*H61)</f>
        <v>15.952205667976569</v>
      </c>
      <c r="O61" s="157" t="s">
        <v>581</v>
      </c>
      <c r="P61" s="157" t="s">
        <v>787</v>
      </c>
      <c r="Q61" s="162">
        <f>52.2/(K61*((E61*H61)^0.5))</f>
        <v>32.218539472084792</v>
      </c>
      <c r="R61" s="157" t="s">
        <v>729</v>
      </c>
      <c r="S61" s="391" t="s">
        <v>816</v>
      </c>
      <c r="T61" s="391"/>
      <c r="U61" s="390">
        <f>H61*E61*K55</f>
        <v>1.8029209621993127</v>
      </c>
      <c r="V61" s="163" t="s">
        <v>552</v>
      </c>
      <c r="W61" s="3"/>
      <c r="X61" s="3"/>
      <c r="Y61" s="3"/>
      <c r="Z61" s="3"/>
    </row>
    <row r="62" spans="1:26" ht="36" customHeight="1" x14ac:dyDescent="0.15">
      <c r="A62" s="164">
        <v>3</v>
      </c>
      <c r="B62" s="165" t="s">
        <v>819</v>
      </c>
      <c r="C62" s="165"/>
      <c r="D62" s="165"/>
      <c r="E62" s="165"/>
      <c r="F62" s="165"/>
      <c r="G62" s="166" t="s">
        <v>784</v>
      </c>
      <c r="H62" s="167">
        <v>2</v>
      </c>
      <c r="I62" s="165"/>
      <c r="J62" s="166" t="s">
        <v>778</v>
      </c>
      <c r="K62" s="168">
        <v>0.6</v>
      </c>
      <c r="L62" s="165"/>
      <c r="M62" s="165" t="s">
        <v>785</v>
      </c>
      <c r="N62" s="161">
        <f>20.4+20*LOG10(H62)+20*LOG10(F55/1000)+10*LOG10(K62)</f>
        <v>17.001797377947828</v>
      </c>
      <c r="O62" s="165" t="s">
        <v>581</v>
      </c>
      <c r="P62" s="165" t="s">
        <v>787</v>
      </c>
      <c r="Q62" s="162">
        <f>21/((F55/1000)*H62)</f>
        <v>24.054982817869416</v>
      </c>
      <c r="R62" s="165" t="s">
        <v>729</v>
      </c>
      <c r="S62" s="165"/>
      <c r="T62" s="165"/>
      <c r="U62" s="165"/>
      <c r="V62" s="169"/>
      <c r="W62" s="3"/>
      <c r="X62" s="3"/>
      <c r="Y62" s="3"/>
      <c r="Z62" s="3"/>
    </row>
    <row r="63" spans="1:26" ht="36" customHeight="1" thickBot="1" x14ac:dyDescent="0.2">
      <c r="A63" s="141">
        <v>4</v>
      </c>
      <c r="B63" s="142" t="s">
        <v>820</v>
      </c>
      <c r="C63" s="142"/>
      <c r="D63" s="143" t="s">
        <v>803</v>
      </c>
      <c r="E63" s="143"/>
      <c r="F63" s="143" t="s">
        <v>804</v>
      </c>
      <c r="G63" s="176" t="s">
        <v>821</v>
      </c>
      <c r="H63" s="145"/>
      <c r="I63" s="142"/>
      <c r="J63" s="144"/>
      <c r="K63" s="146"/>
      <c r="L63" s="142"/>
      <c r="M63" s="142" t="s">
        <v>785</v>
      </c>
      <c r="N63" s="147">
        <v>18.5</v>
      </c>
      <c r="O63" s="142" t="s">
        <v>581</v>
      </c>
      <c r="P63" s="142" t="s">
        <v>787</v>
      </c>
      <c r="Q63" s="148">
        <v>24</v>
      </c>
      <c r="R63" s="142" t="s">
        <v>729</v>
      </c>
      <c r="S63" s="749" t="s">
        <v>257</v>
      </c>
      <c r="T63" s="142"/>
      <c r="U63" s="750" t="s">
        <v>418</v>
      </c>
      <c r="V63" s="149" t="s">
        <v>552</v>
      </c>
      <c r="W63" s="3"/>
      <c r="X63" s="3"/>
      <c r="Y63" s="3"/>
      <c r="Z63" s="3"/>
    </row>
    <row r="64" spans="1:26" x14ac:dyDescent="0.1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1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 thickBot="1" x14ac:dyDescent="0.2">
      <c r="A66" s="3"/>
      <c r="B66" s="3"/>
      <c r="C66" s="3"/>
      <c r="D66" s="3" t="s">
        <v>838</v>
      </c>
      <c r="E66" s="3"/>
      <c r="F66" s="3"/>
      <c r="G66" s="3"/>
      <c r="H66" s="3"/>
      <c r="I66" s="3"/>
      <c r="J66" s="3"/>
      <c r="K66" s="3"/>
      <c r="L66" s="3"/>
      <c r="M66" s="3"/>
      <c r="N66" s="3"/>
      <c r="O66" s="3"/>
      <c r="P66" s="3"/>
      <c r="Q66" s="3"/>
      <c r="R66" s="3"/>
      <c r="S66" s="3"/>
      <c r="T66" s="3"/>
      <c r="U66" s="3"/>
      <c r="V66" s="3"/>
      <c r="W66" s="3"/>
      <c r="X66" s="3"/>
      <c r="Y66" s="3"/>
      <c r="Z66" s="3"/>
    </row>
    <row r="67" spans="1:26" ht="17" thickBot="1" x14ac:dyDescent="0.25">
      <c r="A67" s="3"/>
      <c r="B67" s="216" t="s">
        <v>806</v>
      </c>
      <c r="C67" s="217"/>
      <c r="D67" s="217"/>
      <c r="E67" s="217"/>
      <c r="F67" s="194"/>
      <c r="G67" s="3"/>
      <c r="H67" s="3"/>
      <c r="I67" s="3"/>
      <c r="J67" s="3"/>
      <c r="K67" s="3"/>
      <c r="L67" s="3"/>
      <c r="M67" s="3"/>
      <c r="N67" s="3"/>
      <c r="O67" s="3"/>
      <c r="P67" s="3"/>
      <c r="Q67" s="3"/>
      <c r="R67" s="3"/>
      <c r="S67" s="3"/>
      <c r="T67" s="3"/>
      <c r="U67" s="3"/>
      <c r="V67" s="3"/>
      <c r="W67" s="3"/>
      <c r="X67" s="3"/>
      <c r="Y67" s="3"/>
      <c r="Z67" s="3"/>
    </row>
    <row r="68" spans="1:26" x14ac:dyDescent="0.15">
      <c r="A68" s="3"/>
      <c r="B68" s="205"/>
      <c r="C68" s="87"/>
      <c r="D68" s="87"/>
      <c r="E68" s="87"/>
      <c r="F68" s="204"/>
      <c r="G68" s="3"/>
      <c r="H68" s="3"/>
      <c r="I68" s="3"/>
      <c r="J68" s="3"/>
      <c r="K68" s="3"/>
      <c r="L68" s="3"/>
      <c r="M68" s="3"/>
      <c r="N68" s="3"/>
      <c r="O68" s="3"/>
      <c r="P68" s="3"/>
      <c r="Q68" s="3"/>
      <c r="R68" s="3"/>
      <c r="S68" s="3"/>
      <c r="T68" s="3"/>
      <c r="U68" s="3"/>
      <c r="V68" s="3"/>
      <c r="W68" s="3"/>
      <c r="X68" s="3"/>
      <c r="Y68" s="3"/>
      <c r="Z68" s="3"/>
    </row>
    <row r="69" spans="1:26" x14ac:dyDescent="0.15">
      <c r="A69" s="3"/>
      <c r="B69" s="203" t="s">
        <v>807</v>
      </c>
      <c r="C69" s="87"/>
      <c r="D69" s="87" t="s">
        <v>809</v>
      </c>
      <c r="E69" s="87"/>
      <c r="F69" s="204" t="s">
        <v>811</v>
      </c>
      <c r="G69" s="3"/>
      <c r="H69" s="3"/>
      <c r="I69" s="3"/>
      <c r="J69" s="3"/>
      <c r="K69" s="3"/>
      <c r="L69" s="3"/>
      <c r="M69" s="3"/>
      <c r="N69" s="3"/>
      <c r="O69" s="3"/>
      <c r="P69" s="3"/>
      <c r="Q69" s="3"/>
      <c r="R69" s="3"/>
      <c r="S69" s="3"/>
      <c r="T69" s="3"/>
      <c r="U69" s="3"/>
      <c r="V69" s="3"/>
      <c r="W69" s="3"/>
      <c r="X69" s="3"/>
      <c r="Y69" s="3"/>
      <c r="Z69" s="3"/>
    </row>
    <row r="70" spans="1:26" x14ac:dyDescent="0.15">
      <c r="A70" s="3"/>
      <c r="B70" s="203" t="s">
        <v>808</v>
      </c>
      <c r="C70" s="87"/>
      <c r="D70" s="87" t="s">
        <v>810</v>
      </c>
      <c r="E70" s="87"/>
      <c r="F70" s="204" t="s">
        <v>812</v>
      </c>
      <c r="G70" s="3"/>
      <c r="H70" s="3"/>
      <c r="I70" s="3"/>
      <c r="J70" s="3"/>
      <c r="K70" s="3"/>
      <c r="L70" s="3"/>
      <c r="M70" s="3"/>
      <c r="N70" s="3"/>
      <c r="O70" s="3"/>
      <c r="P70" s="3"/>
      <c r="Q70" s="3"/>
      <c r="R70" s="3"/>
      <c r="S70" s="3"/>
      <c r="T70" s="3"/>
      <c r="U70" s="3"/>
      <c r="V70" s="3"/>
      <c r="W70" s="3"/>
      <c r="X70" s="3"/>
      <c r="Y70" s="3"/>
      <c r="Z70" s="3"/>
    </row>
    <row r="71" spans="1:26" x14ac:dyDescent="0.15">
      <c r="A71" s="3"/>
      <c r="B71" s="205"/>
      <c r="C71" s="87"/>
      <c r="D71" s="87"/>
      <c r="E71" s="87"/>
      <c r="F71" s="204"/>
      <c r="G71" s="3"/>
      <c r="H71" s="3"/>
      <c r="I71" s="3"/>
      <c r="J71" s="3"/>
      <c r="K71" s="3"/>
      <c r="L71" s="3"/>
      <c r="M71" s="3"/>
      <c r="N71" s="3"/>
      <c r="O71" s="3"/>
      <c r="P71" s="3"/>
      <c r="Q71" s="3"/>
      <c r="R71" s="3"/>
      <c r="S71" s="3"/>
      <c r="T71" s="3"/>
      <c r="U71" s="3"/>
      <c r="V71" s="3"/>
      <c r="W71" s="3"/>
      <c r="X71" s="3"/>
      <c r="Y71" s="3"/>
      <c r="Z71" s="3"/>
    </row>
    <row r="72" spans="1:26" x14ac:dyDescent="0.15">
      <c r="A72" s="3"/>
      <c r="B72" s="206">
        <v>0.35</v>
      </c>
      <c r="C72" s="207"/>
      <c r="D72" s="207">
        <v>3</v>
      </c>
      <c r="E72" s="207"/>
      <c r="F72" s="208">
        <v>9.65</v>
      </c>
      <c r="G72" s="3"/>
      <c r="H72" s="3"/>
      <c r="I72" s="3"/>
      <c r="J72" s="3"/>
      <c r="K72" s="3"/>
      <c r="L72" s="3"/>
      <c r="M72" s="3"/>
      <c r="N72" s="3"/>
      <c r="O72" s="3"/>
      <c r="P72" s="3"/>
      <c r="Q72" s="3"/>
      <c r="R72" s="3"/>
      <c r="S72" s="3"/>
      <c r="T72" s="3"/>
      <c r="U72" s="3"/>
      <c r="V72" s="3"/>
      <c r="W72" s="3"/>
      <c r="X72" s="3"/>
      <c r="Y72" s="3"/>
      <c r="Z72" s="3"/>
    </row>
    <row r="73" spans="1:26" x14ac:dyDescent="0.15">
      <c r="A73" s="3"/>
      <c r="B73" s="206" t="s">
        <v>512</v>
      </c>
      <c r="C73" s="207"/>
      <c r="D73" s="207"/>
      <c r="E73" s="207"/>
      <c r="F73" s="208"/>
      <c r="G73" s="3"/>
      <c r="H73" s="3"/>
      <c r="I73" s="3"/>
      <c r="J73" s="3"/>
      <c r="K73" s="3"/>
      <c r="L73" s="3"/>
      <c r="M73" s="3"/>
      <c r="N73" s="3"/>
      <c r="O73" s="3"/>
      <c r="P73" s="3"/>
      <c r="Q73" s="3"/>
      <c r="R73" s="3"/>
      <c r="S73" s="3"/>
      <c r="T73" s="3"/>
      <c r="U73" s="3"/>
      <c r="V73" s="3"/>
      <c r="W73" s="3"/>
      <c r="X73" s="3"/>
      <c r="Y73" s="3"/>
      <c r="Z73" s="3"/>
    </row>
    <row r="74" spans="1:26" x14ac:dyDescent="0.15">
      <c r="A74" s="3"/>
      <c r="B74" s="206">
        <v>0.55000000000000004</v>
      </c>
      <c r="C74" s="207"/>
      <c r="D74" s="207">
        <v>4</v>
      </c>
      <c r="E74" s="207"/>
      <c r="F74" s="208">
        <v>10.86</v>
      </c>
      <c r="G74" s="3"/>
      <c r="H74" s="3"/>
      <c r="I74" s="3"/>
      <c r="J74" s="3"/>
      <c r="K74" s="3"/>
      <c r="L74" s="3"/>
      <c r="M74" s="3"/>
      <c r="N74" s="3"/>
      <c r="O74" s="3"/>
      <c r="P74" s="3"/>
      <c r="Q74" s="3"/>
      <c r="R74" s="3"/>
      <c r="S74" s="3"/>
      <c r="T74" s="3"/>
      <c r="U74" s="3"/>
      <c r="V74" s="3"/>
      <c r="W74" s="3"/>
      <c r="X74" s="3"/>
      <c r="Y74" s="3"/>
      <c r="Z74" s="3"/>
    </row>
    <row r="75" spans="1:26" x14ac:dyDescent="0.15">
      <c r="A75" s="3"/>
      <c r="B75" s="206"/>
      <c r="C75" s="207"/>
      <c r="D75" s="207"/>
      <c r="E75" s="207"/>
      <c r="F75" s="208"/>
      <c r="G75" s="3"/>
      <c r="H75" s="3"/>
      <c r="I75" s="3"/>
      <c r="J75" s="3"/>
      <c r="K75" s="3"/>
      <c r="L75" s="3"/>
      <c r="M75" s="3"/>
      <c r="N75" s="3"/>
      <c r="O75" s="3"/>
      <c r="P75" s="3"/>
      <c r="Q75" s="3"/>
      <c r="R75" s="3"/>
      <c r="S75" s="3"/>
      <c r="T75" s="3"/>
      <c r="U75" s="3"/>
      <c r="V75" s="3"/>
      <c r="W75" s="3"/>
      <c r="X75" s="3"/>
      <c r="Y75" s="3"/>
      <c r="Z75" s="3"/>
    </row>
    <row r="76" spans="1:26" x14ac:dyDescent="0.15">
      <c r="A76" s="3"/>
      <c r="B76" s="206">
        <v>0.8</v>
      </c>
      <c r="C76" s="207"/>
      <c r="D76" s="207">
        <v>5</v>
      </c>
      <c r="E76" s="207"/>
      <c r="F76" s="208">
        <v>11.85</v>
      </c>
      <c r="G76" s="3"/>
      <c r="H76" s="3"/>
      <c r="I76" s="3"/>
      <c r="J76" s="3"/>
      <c r="K76" s="3"/>
      <c r="L76" s="3"/>
      <c r="M76" s="3"/>
      <c r="N76" s="3"/>
      <c r="O76" s="3"/>
      <c r="P76" s="3"/>
      <c r="Q76" s="3"/>
      <c r="R76" s="3"/>
      <c r="S76" s="3"/>
      <c r="T76" s="3"/>
      <c r="U76" s="3"/>
      <c r="V76" s="3"/>
      <c r="W76" s="3"/>
      <c r="X76" s="3"/>
      <c r="Y76" s="3"/>
      <c r="Z76" s="3"/>
    </row>
    <row r="77" spans="1:26" x14ac:dyDescent="0.15">
      <c r="A77" s="3"/>
      <c r="B77" s="206"/>
      <c r="C77" s="207"/>
      <c r="D77" s="207"/>
      <c r="E77" s="207"/>
      <c r="F77" s="208"/>
      <c r="G77" s="3"/>
      <c r="H77" s="3"/>
      <c r="I77" s="3"/>
      <c r="J77" s="3"/>
      <c r="K77" s="3"/>
      <c r="L77" s="3"/>
      <c r="M77" s="3"/>
      <c r="N77" s="3"/>
      <c r="O77" s="3"/>
      <c r="P77" s="3"/>
      <c r="Q77" s="3"/>
      <c r="R77" s="3"/>
      <c r="S77" s="3"/>
      <c r="T77" s="3"/>
      <c r="U77" s="3"/>
      <c r="V77" s="3"/>
      <c r="W77" s="3"/>
      <c r="X77" s="3"/>
      <c r="Y77" s="3"/>
      <c r="Z77" s="3"/>
    </row>
    <row r="78" spans="1:26" x14ac:dyDescent="0.15">
      <c r="A78" s="3"/>
      <c r="B78" s="206">
        <v>1.1499999999999999</v>
      </c>
      <c r="C78" s="207"/>
      <c r="D78" s="207">
        <v>6</v>
      </c>
      <c r="E78" s="207"/>
      <c r="F78" s="208">
        <v>12.45</v>
      </c>
      <c r="G78" s="3"/>
      <c r="H78" s="3"/>
      <c r="I78" s="3"/>
      <c r="J78" s="3"/>
      <c r="K78" s="3"/>
      <c r="L78" s="3"/>
      <c r="M78" s="3"/>
      <c r="N78" s="3"/>
      <c r="O78" s="3"/>
      <c r="P78" s="3"/>
      <c r="Q78" s="3"/>
      <c r="R78" s="3"/>
      <c r="S78" s="3"/>
      <c r="T78" s="3"/>
      <c r="U78" s="3"/>
      <c r="V78" s="3"/>
      <c r="W78" s="3"/>
      <c r="X78" s="3"/>
      <c r="Y78" s="3"/>
      <c r="Z78" s="3"/>
    </row>
    <row r="79" spans="1:26" x14ac:dyDescent="0.15">
      <c r="A79" s="3"/>
      <c r="B79" s="206"/>
      <c r="C79" s="207"/>
      <c r="D79" s="207"/>
      <c r="E79" s="207"/>
      <c r="F79" s="208"/>
      <c r="G79" s="3"/>
      <c r="H79" s="3"/>
      <c r="I79" s="3"/>
      <c r="J79" s="3"/>
      <c r="K79" s="3"/>
      <c r="L79" s="3"/>
      <c r="M79" s="3"/>
      <c r="N79" s="3"/>
      <c r="O79" s="3"/>
      <c r="P79" s="3"/>
      <c r="Q79" s="3"/>
      <c r="R79" s="3"/>
      <c r="S79" s="3"/>
      <c r="T79" s="3"/>
      <c r="U79" s="3"/>
      <c r="V79" s="3"/>
      <c r="W79" s="3"/>
      <c r="X79" s="3"/>
      <c r="Y79" s="3"/>
      <c r="Z79" s="3"/>
    </row>
    <row r="80" spans="1:26" x14ac:dyDescent="0.15">
      <c r="A80" s="3"/>
      <c r="B80" s="206">
        <v>1.45</v>
      </c>
      <c r="C80" s="207"/>
      <c r="D80" s="207">
        <v>7</v>
      </c>
      <c r="E80" s="207"/>
      <c r="F80" s="208">
        <v>13.35</v>
      </c>
      <c r="G80" s="3"/>
      <c r="H80" s="3"/>
      <c r="I80" s="3"/>
      <c r="J80" s="3"/>
      <c r="K80" s="3"/>
      <c r="L80" s="3"/>
      <c r="M80" s="3"/>
      <c r="N80" s="3"/>
      <c r="O80" s="3"/>
      <c r="P80" s="3"/>
      <c r="Q80" s="3"/>
      <c r="R80" s="3"/>
      <c r="S80" s="3"/>
      <c r="T80" s="3"/>
      <c r="U80" s="3"/>
      <c r="V80" s="3"/>
      <c r="W80" s="3"/>
      <c r="X80" s="3"/>
      <c r="Y80" s="3"/>
      <c r="Z80" s="3"/>
    </row>
    <row r="81" spans="1:26" x14ac:dyDescent="0.15">
      <c r="A81" s="3"/>
      <c r="B81" s="206"/>
      <c r="C81" s="207"/>
      <c r="D81" s="207"/>
      <c r="E81" s="207"/>
      <c r="F81" s="208"/>
      <c r="G81" s="3"/>
      <c r="H81" s="3"/>
      <c r="I81" s="3"/>
      <c r="J81" s="3"/>
      <c r="K81" s="3"/>
      <c r="L81" s="3"/>
      <c r="M81" s="3"/>
      <c r="N81" s="3"/>
      <c r="O81" s="3"/>
      <c r="P81" s="3"/>
      <c r="Q81" s="3"/>
      <c r="R81" s="3"/>
      <c r="S81" s="3"/>
      <c r="T81" s="3"/>
      <c r="U81" s="3"/>
      <c r="V81" s="3"/>
      <c r="W81" s="3"/>
      <c r="X81" s="3"/>
      <c r="Y81" s="3"/>
      <c r="Z81" s="3"/>
    </row>
    <row r="82" spans="1:26" x14ac:dyDescent="0.15">
      <c r="A82" s="3"/>
      <c r="B82" s="206">
        <v>1.8</v>
      </c>
      <c r="C82" s="207"/>
      <c r="D82" s="207">
        <v>8</v>
      </c>
      <c r="E82" s="207"/>
      <c r="F82" s="208">
        <v>14.05</v>
      </c>
      <c r="G82" s="3"/>
      <c r="H82" s="3"/>
      <c r="I82" s="3"/>
      <c r="J82" s="3"/>
      <c r="K82" s="3"/>
      <c r="L82" s="3"/>
      <c r="M82" s="3"/>
      <c r="N82" s="3"/>
      <c r="O82" s="3"/>
      <c r="P82" s="3"/>
      <c r="Q82" s="3"/>
      <c r="R82" s="3"/>
      <c r="S82" s="3"/>
      <c r="T82" s="3"/>
      <c r="U82" s="3"/>
      <c r="V82" s="3"/>
      <c r="W82" s="3"/>
      <c r="X82" s="3"/>
      <c r="Y82" s="3"/>
      <c r="Z82" s="3"/>
    </row>
    <row r="83" spans="1:26" x14ac:dyDescent="0.15">
      <c r="A83" s="3"/>
      <c r="B83" s="206"/>
      <c r="C83" s="207"/>
      <c r="D83" s="207"/>
      <c r="E83" s="207"/>
      <c r="F83" s="208"/>
      <c r="G83" s="3"/>
      <c r="H83" s="3"/>
      <c r="I83" s="3"/>
      <c r="J83" s="3"/>
      <c r="K83" s="3"/>
      <c r="L83" s="3"/>
      <c r="M83" s="3"/>
      <c r="N83" s="3"/>
      <c r="O83" s="3"/>
      <c r="P83" s="3"/>
      <c r="Q83" s="3"/>
      <c r="R83" s="3"/>
      <c r="S83" s="3"/>
      <c r="T83" s="3"/>
      <c r="U83" s="3"/>
      <c r="V83" s="3"/>
      <c r="W83" s="3"/>
      <c r="X83" s="3"/>
      <c r="Y83" s="3"/>
      <c r="Z83" s="3"/>
    </row>
    <row r="84" spans="1:26" x14ac:dyDescent="0.15">
      <c r="A84" s="3"/>
      <c r="B84" s="206">
        <v>2.1</v>
      </c>
      <c r="C84" s="207"/>
      <c r="D84" s="207">
        <v>9</v>
      </c>
      <c r="E84" s="207"/>
      <c r="F84" s="208">
        <v>14.4</v>
      </c>
      <c r="G84" s="3"/>
      <c r="H84" s="3"/>
      <c r="I84" s="3"/>
      <c r="J84" s="3"/>
      <c r="K84" s="3"/>
      <c r="L84" s="3"/>
      <c r="M84" s="3"/>
      <c r="N84" s="3"/>
      <c r="O84" s="3"/>
      <c r="P84" s="3"/>
      <c r="Q84" s="3"/>
      <c r="R84" s="3"/>
      <c r="S84" s="3"/>
      <c r="T84" s="3"/>
      <c r="U84" s="3"/>
      <c r="V84" s="3"/>
      <c r="W84" s="3"/>
      <c r="X84" s="3"/>
      <c r="Y84" s="3"/>
      <c r="Z84" s="3"/>
    </row>
    <row r="85" spans="1:26" x14ac:dyDescent="0.15">
      <c r="A85" s="3"/>
      <c r="B85" s="206"/>
      <c r="C85" s="207"/>
      <c r="D85" s="207"/>
      <c r="E85" s="207"/>
      <c r="F85" s="208"/>
      <c r="G85" s="3"/>
      <c r="H85" s="3"/>
      <c r="I85" s="3"/>
      <c r="J85" s="3"/>
      <c r="K85" s="3"/>
      <c r="L85" s="3"/>
      <c r="M85" s="3"/>
      <c r="N85" s="3"/>
      <c r="O85" s="3"/>
      <c r="P85" s="3"/>
      <c r="Q85" s="3"/>
      <c r="R85" s="3"/>
      <c r="S85" s="3"/>
      <c r="T85" s="3"/>
      <c r="U85" s="3"/>
      <c r="V85" s="3"/>
      <c r="W85" s="3"/>
      <c r="X85" s="3"/>
      <c r="Y85" s="3"/>
      <c r="Z85" s="3"/>
    </row>
    <row r="86" spans="1:26" x14ac:dyDescent="0.15">
      <c r="A86" s="3"/>
      <c r="B86" s="206">
        <v>2.4500000000000002</v>
      </c>
      <c r="C86" s="207"/>
      <c r="D86" s="207">
        <v>10</v>
      </c>
      <c r="E86" s="207"/>
      <c r="F86" s="208">
        <v>15.25</v>
      </c>
      <c r="G86" s="3"/>
      <c r="H86" s="3"/>
      <c r="I86" s="3"/>
      <c r="J86" s="3"/>
      <c r="K86" s="3"/>
      <c r="L86" s="3"/>
      <c r="M86" s="3"/>
      <c r="N86" s="3"/>
      <c r="O86" s="3"/>
      <c r="P86" s="3"/>
      <c r="Q86" s="3"/>
      <c r="R86" s="3"/>
      <c r="S86" s="3"/>
      <c r="T86" s="3"/>
      <c r="U86" s="3"/>
      <c r="V86" s="3"/>
      <c r="W86" s="3"/>
      <c r="X86" s="3"/>
      <c r="Y86" s="3"/>
      <c r="Z86" s="3"/>
    </row>
    <row r="87" spans="1:26" x14ac:dyDescent="0.15">
      <c r="A87" s="3"/>
      <c r="B87" s="206"/>
      <c r="C87" s="207"/>
      <c r="D87" s="207"/>
      <c r="E87" s="207"/>
      <c r="F87" s="208"/>
      <c r="G87" s="3"/>
      <c r="H87" s="3"/>
      <c r="I87" s="3"/>
      <c r="J87" s="3"/>
      <c r="K87" s="3"/>
      <c r="L87" s="3"/>
      <c r="M87" s="3"/>
      <c r="N87" s="3"/>
      <c r="O87" s="3"/>
      <c r="P87" s="3"/>
      <c r="Q87" s="3"/>
      <c r="R87" s="3"/>
      <c r="S87" s="3"/>
      <c r="T87" s="3"/>
      <c r="U87" s="3"/>
      <c r="V87" s="3"/>
      <c r="W87" s="3"/>
      <c r="X87" s="3"/>
      <c r="Y87" s="3"/>
      <c r="Z87" s="3"/>
    </row>
    <row r="88" spans="1:26" x14ac:dyDescent="0.15">
      <c r="A88" s="3"/>
      <c r="B88" s="206">
        <v>2.8</v>
      </c>
      <c r="C88" s="207"/>
      <c r="D88" s="207">
        <v>11</v>
      </c>
      <c r="E88" s="207"/>
      <c r="F88" s="208">
        <v>15.95</v>
      </c>
      <c r="G88" s="3"/>
      <c r="H88" s="3"/>
      <c r="I88" s="3"/>
      <c r="J88" s="3"/>
      <c r="K88" s="3"/>
      <c r="L88" s="3"/>
      <c r="M88" s="3"/>
      <c r="N88" s="3"/>
      <c r="O88" s="3"/>
      <c r="P88" s="3"/>
      <c r="Q88" s="3"/>
      <c r="R88" s="3"/>
      <c r="S88" s="3"/>
      <c r="T88" s="3"/>
      <c r="U88" s="3"/>
      <c r="V88" s="3"/>
      <c r="W88" s="3"/>
      <c r="X88" s="3"/>
      <c r="Y88" s="3"/>
      <c r="Z88" s="3"/>
    </row>
    <row r="89" spans="1:26" x14ac:dyDescent="0.15">
      <c r="A89" s="3"/>
      <c r="B89" s="206"/>
      <c r="C89" s="207"/>
      <c r="D89" s="207"/>
      <c r="E89" s="207"/>
      <c r="F89" s="208"/>
      <c r="G89" s="3"/>
      <c r="H89" s="3"/>
      <c r="I89" s="3"/>
      <c r="J89" s="3"/>
      <c r="K89" s="3"/>
      <c r="L89" s="3"/>
      <c r="M89" s="3"/>
      <c r="N89" s="3"/>
      <c r="O89" s="3"/>
      <c r="P89" s="3"/>
      <c r="Q89" s="3"/>
      <c r="R89" s="3"/>
      <c r="S89" s="3"/>
      <c r="T89" s="3"/>
      <c r="U89" s="3"/>
      <c r="V89" s="3"/>
      <c r="W89" s="3"/>
      <c r="X89" s="3"/>
      <c r="Y89" s="3"/>
      <c r="Z89" s="3"/>
    </row>
    <row r="90" spans="1:26" x14ac:dyDescent="0.15">
      <c r="A90" s="3"/>
      <c r="B90" s="206">
        <v>3.15</v>
      </c>
      <c r="C90" s="207"/>
      <c r="D90" s="207">
        <v>12</v>
      </c>
      <c r="E90" s="207"/>
      <c r="F90" s="208">
        <v>16.3</v>
      </c>
      <c r="G90" s="3"/>
      <c r="H90" s="3"/>
      <c r="I90" s="3"/>
      <c r="J90" s="3"/>
      <c r="K90" s="3"/>
      <c r="L90" s="3"/>
      <c r="M90" s="3"/>
      <c r="N90" s="3"/>
      <c r="O90" s="3"/>
      <c r="P90" s="3"/>
      <c r="Q90" s="3"/>
      <c r="R90" s="3"/>
      <c r="S90" s="3"/>
      <c r="T90" s="3"/>
      <c r="U90" s="3"/>
      <c r="V90" s="3"/>
      <c r="W90" s="3"/>
      <c r="X90" s="3"/>
      <c r="Y90" s="3"/>
      <c r="Z90" s="3"/>
    </row>
    <row r="91" spans="1:26" x14ac:dyDescent="0.15">
      <c r="A91" s="3"/>
      <c r="B91" s="206"/>
      <c r="C91" s="207"/>
      <c r="D91" s="207"/>
      <c r="E91" s="207"/>
      <c r="F91" s="208"/>
      <c r="G91" s="3"/>
      <c r="H91" s="3"/>
      <c r="I91" s="3"/>
      <c r="J91" s="3"/>
      <c r="K91" s="3"/>
      <c r="L91" s="3"/>
      <c r="M91" s="3"/>
      <c r="N91" s="3"/>
      <c r="O91" s="3"/>
      <c r="P91" s="3"/>
      <c r="Q91" s="3"/>
      <c r="R91" s="3"/>
      <c r="S91" s="3"/>
      <c r="T91" s="3"/>
      <c r="U91" s="3"/>
      <c r="V91" s="3"/>
      <c r="W91" s="3"/>
      <c r="X91" s="3"/>
      <c r="Y91" s="3"/>
      <c r="Z91" s="3"/>
    </row>
    <row r="92" spans="1:26" x14ac:dyDescent="0.15">
      <c r="A92" s="3"/>
      <c r="B92" s="206">
        <v>3.55</v>
      </c>
      <c r="C92" s="207"/>
      <c r="D92" s="207">
        <v>13</v>
      </c>
      <c r="E92" s="207"/>
      <c r="F92" s="208">
        <v>16.95</v>
      </c>
      <c r="G92" s="3"/>
      <c r="H92" s="3"/>
      <c r="I92" s="3"/>
      <c r="J92" s="3"/>
      <c r="K92" s="3"/>
      <c r="L92" s="3"/>
      <c r="M92" s="3"/>
      <c r="N92" s="3"/>
      <c r="O92" s="3"/>
      <c r="P92" s="3"/>
      <c r="Q92" s="3"/>
      <c r="R92" s="3"/>
      <c r="S92" s="3"/>
      <c r="T92" s="3"/>
      <c r="U92" s="3"/>
      <c r="V92" s="3"/>
      <c r="W92" s="3"/>
      <c r="X92" s="3"/>
      <c r="Y92" s="3"/>
      <c r="Z92" s="3"/>
    </row>
    <row r="93" spans="1:26" x14ac:dyDescent="0.15">
      <c r="A93" s="3"/>
      <c r="B93" s="206"/>
      <c r="C93" s="207"/>
      <c r="D93" s="207"/>
      <c r="E93" s="207"/>
      <c r="F93" s="208"/>
      <c r="G93" s="3"/>
      <c r="H93" s="3"/>
      <c r="I93" s="3"/>
      <c r="J93" s="3"/>
      <c r="K93" s="3"/>
      <c r="L93" s="3"/>
      <c r="M93" s="3"/>
      <c r="N93" s="3"/>
      <c r="O93" s="3"/>
      <c r="P93" s="3"/>
      <c r="Q93" s="3"/>
      <c r="R93" s="3"/>
      <c r="S93" s="3"/>
      <c r="T93" s="3"/>
      <c r="U93" s="3"/>
      <c r="V93" s="3"/>
      <c r="W93" s="3"/>
      <c r="X93" s="3"/>
      <c r="Y93" s="3"/>
      <c r="Z93" s="3"/>
    </row>
    <row r="94" spans="1:26" x14ac:dyDescent="0.15">
      <c r="A94" s="3"/>
      <c r="B94" s="206">
        <v>4</v>
      </c>
      <c r="C94" s="207"/>
      <c r="D94" s="207">
        <v>14</v>
      </c>
      <c r="E94" s="207"/>
      <c r="F94" s="208">
        <v>17.45</v>
      </c>
      <c r="G94" s="3"/>
      <c r="H94" s="3"/>
      <c r="I94" s="3"/>
      <c r="J94" s="3"/>
      <c r="K94" s="3"/>
      <c r="L94" s="3"/>
      <c r="M94" s="3"/>
      <c r="N94" s="3"/>
      <c r="O94" s="3"/>
      <c r="P94" s="3"/>
      <c r="Q94" s="3"/>
      <c r="R94" s="3"/>
      <c r="S94" s="3"/>
      <c r="T94" s="3"/>
      <c r="U94" s="3"/>
      <c r="V94" s="3"/>
      <c r="W94" s="3"/>
      <c r="X94" s="3"/>
      <c r="Y94" s="3"/>
      <c r="Z94" s="3"/>
    </row>
    <row r="95" spans="1:26" x14ac:dyDescent="0.15">
      <c r="A95" s="3"/>
      <c r="B95" s="206"/>
      <c r="C95" s="207"/>
      <c r="D95" s="207"/>
      <c r="E95" s="207"/>
      <c r="F95" s="208"/>
      <c r="G95" s="3"/>
      <c r="H95" s="3"/>
      <c r="I95" s="3"/>
      <c r="J95" s="3"/>
      <c r="K95" s="3"/>
      <c r="L95" s="3"/>
      <c r="M95" s="3"/>
      <c r="N95" s="3"/>
      <c r="O95" s="3"/>
      <c r="P95" s="3"/>
      <c r="Q95" s="3"/>
      <c r="R95" s="3"/>
      <c r="S95" s="3"/>
      <c r="T95" s="3"/>
      <c r="U95" s="3"/>
      <c r="V95" s="3"/>
      <c r="W95" s="3"/>
      <c r="X95" s="3"/>
      <c r="Y95" s="3"/>
      <c r="Z95" s="3"/>
    </row>
    <row r="96" spans="1:26" x14ac:dyDescent="0.15">
      <c r="A96" s="3"/>
      <c r="B96" s="206">
        <v>4.4000000000000004</v>
      </c>
      <c r="C96" s="207"/>
      <c r="D96" s="207">
        <v>15</v>
      </c>
      <c r="E96" s="207"/>
      <c r="F96" s="208">
        <v>18.149999999999999</v>
      </c>
      <c r="G96" s="3"/>
      <c r="H96" s="3"/>
      <c r="I96" s="3"/>
      <c r="J96" s="3"/>
      <c r="K96" s="3"/>
      <c r="L96" s="3"/>
      <c r="M96" s="3"/>
      <c r="N96" s="3"/>
      <c r="O96" s="3"/>
      <c r="P96" s="3"/>
      <c r="Q96" s="3"/>
      <c r="R96" s="3"/>
      <c r="S96" s="3"/>
      <c r="T96" s="3"/>
      <c r="U96" s="3"/>
      <c r="V96" s="3"/>
      <c r="W96" s="3"/>
      <c r="X96" s="3"/>
      <c r="Y96" s="3"/>
      <c r="Z96" s="3"/>
    </row>
    <row r="97" spans="1:26" x14ac:dyDescent="0.15">
      <c r="A97" s="3"/>
      <c r="B97" s="206"/>
      <c r="C97" s="207"/>
      <c r="D97" s="207"/>
      <c r="E97" s="207"/>
      <c r="F97" s="208"/>
      <c r="G97" s="3"/>
      <c r="H97" s="3"/>
      <c r="I97" s="3"/>
      <c r="J97" s="3"/>
      <c r="K97" s="3"/>
      <c r="L97" s="3"/>
      <c r="M97" s="3"/>
      <c r="N97" s="3"/>
      <c r="O97" s="3"/>
      <c r="P97" s="3"/>
      <c r="Q97" s="3"/>
      <c r="R97" s="3"/>
      <c r="S97" s="3"/>
      <c r="T97" s="3"/>
      <c r="U97" s="3"/>
      <c r="V97" s="3"/>
      <c r="W97" s="3"/>
      <c r="X97" s="3"/>
      <c r="Y97" s="3"/>
      <c r="Z97" s="3"/>
    </row>
    <row r="98" spans="1:26" x14ac:dyDescent="0.15">
      <c r="A98" s="3"/>
      <c r="B98" s="206">
        <v>4.75</v>
      </c>
      <c r="C98" s="207"/>
      <c r="D98" s="207">
        <v>16</v>
      </c>
      <c r="E98" s="207"/>
      <c r="F98" s="208">
        <v>18.649999999999999</v>
      </c>
      <c r="G98" s="3"/>
      <c r="H98" s="3"/>
      <c r="I98" s="3"/>
      <c r="J98" s="3"/>
      <c r="K98" s="3"/>
      <c r="L98" s="3"/>
      <c r="M98" s="3"/>
      <c r="N98" s="3"/>
      <c r="O98" s="3"/>
      <c r="P98" s="3"/>
      <c r="Q98" s="3"/>
      <c r="R98" s="3"/>
      <c r="S98" s="3"/>
      <c r="T98" s="3"/>
      <c r="U98" s="3"/>
      <c r="V98" s="3"/>
      <c r="W98" s="3"/>
      <c r="X98" s="3"/>
      <c r="Y98" s="3"/>
      <c r="Z98" s="3"/>
    </row>
    <row r="99" spans="1:26" x14ac:dyDescent="0.15">
      <c r="A99" s="3"/>
      <c r="B99" s="206"/>
      <c r="C99" s="207"/>
      <c r="D99" s="207"/>
      <c r="E99" s="207"/>
      <c r="F99" s="208"/>
      <c r="G99" s="3"/>
      <c r="H99" s="3"/>
      <c r="I99" s="3"/>
      <c r="J99" s="3"/>
      <c r="K99" s="3"/>
      <c r="L99" s="3"/>
      <c r="M99" s="3"/>
      <c r="N99" s="3"/>
      <c r="O99" s="3"/>
      <c r="P99" s="3"/>
      <c r="Q99" s="3"/>
      <c r="R99" s="3"/>
      <c r="S99" s="3"/>
      <c r="T99" s="3"/>
      <c r="U99" s="3"/>
      <c r="V99" s="3"/>
      <c r="W99" s="3"/>
      <c r="X99" s="3"/>
      <c r="Y99" s="3"/>
      <c r="Z99" s="3"/>
    </row>
    <row r="100" spans="1:26" x14ac:dyDescent="0.15">
      <c r="A100" s="3"/>
      <c r="B100" s="206">
        <v>5.2</v>
      </c>
      <c r="C100" s="87"/>
      <c r="D100" s="207">
        <v>17</v>
      </c>
      <c r="E100" s="87"/>
      <c r="F100" s="208">
        <v>19.350000000000001</v>
      </c>
      <c r="G100" s="3"/>
      <c r="H100" s="3"/>
      <c r="I100" s="3"/>
      <c r="J100" s="3"/>
      <c r="K100" s="3"/>
      <c r="L100" s="3"/>
      <c r="M100" s="3"/>
      <c r="N100" s="3"/>
      <c r="O100" s="3"/>
      <c r="P100" s="3"/>
      <c r="Q100" s="3"/>
      <c r="R100" s="3"/>
      <c r="S100" s="3"/>
      <c r="T100" s="3"/>
      <c r="U100" s="3"/>
      <c r="V100" s="3"/>
      <c r="W100" s="3"/>
      <c r="X100" s="3"/>
      <c r="Y100" s="3"/>
      <c r="Z100" s="3"/>
    </row>
    <row r="101" spans="1:26" x14ac:dyDescent="0.15">
      <c r="A101" s="3"/>
      <c r="B101" s="206"/>
      <c r="C101" s="87"/>
      <c r="D101" s="207"/>
      <c r="E101" s="87"/>
      <c r="F101" s="208"/>
      <c r="G101" s="3"/>
      <c r="H101" s="3"/>
      <c r="I101" s="3"/>
      <c r="J101" s="3"/>
      <c r="K101" s="3"/>
      <c r="L101" s="3"/>
      <c r="M101" s="3"/>
      <c r="N101" s="3"/>
      <c r="O101" s="3"/>
      <c r="P101" s="3"/>
      <c r="Q101" s="3"/>
      <c r="R101" s="3"/>
      <c r="S101" s="3"/>
      <c r="T101" s="3"/>
      <c r="U101" s="3"/>
      <c r="V101" s="3"/>
      <c r="W101" s="3"/>
      <c r="X101" s="3"/>
      <c r="Y101" s="3"/>
      <c r="Z101" s="3"/>
    </row>
    <row r="102" spans="1:26" x14ac:dyDescent="0.15">
      <c r="A102" s="3"/>
      <c r="B102" s="206">
        <v>5.55</v>
      </c>
      <c r="C102" s="87"/>
      <c r="D102" s="207">
        <v>18</v>
      </c>
      <c r="E102" s="87"/>
      <c r="F102" s="208">
        <v>19.850000000000001</v>
      </c>
      <c r="G102" s="3"/>
      <c r="H102" s="3"/>
      <c r="I102" s="3"/>
      <c r="J102" s="3"/>
      <c r="K102" s="3"/>
      <c r="L102" s="3"/>
      <c r="M102" s="3"/>
      <c r="N102" s="3"/>
      <c r="O102" s="3"/>
      <c r="P102" s="3"/>
      <c r="Q102" s="3"/>
      <c r="R102" s="3"/>
      <c r="S102" s="3"/>
      <c r="T102" s="3"/>
      <c r="U102" s="3"/>
      <c r="V102" s="3"/>
      <c r="W102" s="3"/>
      <c r="X102" s="3"/>
      <c r="Y102" s="3"/>
      <c r="Z102" s="3"/>
    </row>
    <row r="103" spans="1:26" x14ac:dyDescent="0.15">
      <c r="A103" s="3"/>
      <c r="B103" s="206"/>
      <c r="C103" s="87"/>
      <c r="D103" s="207"/>
      <c r="E103" s="87"/>
      <c r="F103" s="208"/>
      <c r="G103" s="3"/>
      <c r="H103" s="3"/>
      <c r="I103" s="3"/>
      <c r="J103" s="3"/>
      <c r="K103" s="3"/>
      <c r="L103" s="3"/>
      <c r="M103" s="3"/>
      <c r="N103" s="3"/>
      <c r="O103" s="3"/>
      <c r="P103" s="3"/>
      <c r="Q103" s="3"/>
      <c r="R103" s="3"/>
      <c r="S103" s="3"/>
      <c r="T103" s="3"/>
      <c r="U103" s="3"/>
      <c r="V103" s="3"/>
      <c r="W103" s="3"/>
      <c r="X103" s="3"/>
      <c r="Y103" s="3"/>
      <c r="Z103" s="3"/>
    </row>
    <row r="104" spans="1:26" x14ac:dyDescent="0.15">
      <c r="A104" s="3"/>
      <c r="B104" s="206">
        <v>6</v>
      </c>
      <c r="C104" s="87"/>
      <c r="D104" s="207">
        <v>19</v>
      </c>
      <c r="E104" s="87"/>
      <c r="F104" s="208">
        <v>20.25</v>
      </c>
      <c r="G104" s="3"/>
      <c r="H104" s="3"/>
      <c r="I104" s="3"/>
      <c r="J104" s="3"/>
      <c r="K104" s="3"/>
      <c r="L104" s="3"/>
      <c r="M104" s="3"/>
      <c r="N104" s="3"/>
      <c r="O104" s="3"/>
      <c r="P104" s="3"/>
      <c r="Q104" s="3"/>
      <c r="R104" s="3"/>
      <c r="S104" s="3"/>
      <c r="T104" s="3"/>
      <c r="U104" s="3"/>
      <c r="V104" s="3"/>
      <c r="W104" s="3"/>
      <c r="X104" s="3"/>
      <c r="Y104" s="3"/>
      <c r="Z104" s="3"/>
    </row>
    <row r="105" spans="1:26" x14ac:dyDescent="0.15">
      <c r="A105" s="3"/>
      <c r="B105" s="206"/>
      <c r="C105" s="87"/>
      <c r="D105" s="207"/>
      <c r="E105" s="87"/>
      <c r="F105" s="208"/>
      <c r="G105" s="3"/>
      <c r="H105" s="3"/>
      <c r="I105" s="3"/>
      <c r="J105" s="3"/>
      <c r="K105" s="3"/>
      <c r="L105" s="3"/>
      <c r="M105" s="3"/>
      <c r="N105" s="3"/>
      <c r="O105" s="3"/>
      <c r="P105" s="3"/>
      <c r="Q105" s="3"/>
      <c r="R105" s="3"/>
      <c r="S105" s="3"/>
      <c r="T105" s="3"/>
      <c r="U105" s="3"/>
      <c r="V105" s="3"/>
      <c r="W105" s="3"/>
      <c r="X105" s="3"/>
      <c r="Y105" s="3"/>
      <c r="Z105" s="3"/>
    </row>
    <row r="106" spans="1:26" x14ac:dyDescent="0.15">
      <c r="A106" s="3"/>
      <c r="B106" s="206">
        <v>6.5</v>
      </c>
      <c r="C106" s="87"/>
      <c r="D106" s="207">
        <v>20</v>
      </c>
      <c r="E106" s="87"/>
      <c r="F106" s="208">
        <v>20.75</v>
      </c>
      <c r="G106" s="3"/>
      <c r="H106" s="3"/>
      <c r="I106" s="3"/>
      <c r="J106" s="3"/>
      <c r="K106" s="3"/>
      <c r="L106" s="3"/>
      <c r="M106" s="3"/>
      <c r="N106" s="3"/>
      <c r="O106" s="3"/>
      <c r="P106" s="3"/>
      <c r="Q106" s="3"/>
      <c r="R106" s="3"/>
      <c r="S106" s="3"/>
      <c r="T106" s="3"/>
      <c r="U106" s="3"/>
      <c r="V106" s="3"/>
      <c r="W106" s="3"/>
      <c r="X106" s="3"/>
      <c r="Y106" s="3"/>
      <c r="Z106" s="3"/>
    </row>
    <row r="107" spans="1:26" x14ac:dyDescent="0.15">
      <c r="A107" s="3"/>
      <c r="B107" s="206"/>
      <c r="C107" s="87"/>
      <c r="D107" s="207"/>
      <c r="E107" s="87"/>
      <c r="F107" s="208"/>
      <c r="G107" s="3"/>
      <c r="H107" s="3"/>
      <c r="I107" s="3"/>
      <c r="J107" s="3"/>
      <c r="K107" s="3"/>
      <c r="L107" s="3"/>
      <c r="M107" s="3"/>
      <c r="N107" s="3"/>
      <c r="O107" s="3"/>
      <c r="P107" s="3"/>
      <c r="Q107" s="3"/>
      <c r="R107" s="3"/>
      <c r="S107" s="3"/>
      <c r="T107" s="3"/>
      <c r="U107" s="3"/>
      <c r="V107" s="3"/>
      <c r="W107" s="3"/>
      <c r="X107" s="3"/>
      <c r="Y107" s="3"/>
      <c r="Z107" s="3"/>
    </row>
    <row r="108" spans="1:26" x14ac:dyDescent="0.15">
      <c r="A108" s="3"/>
      <c r="B108" s="206">
        <v>7</v>
      </c>
      <c r="C108" s="87"/>
      <c r="D108" s="207">
        <v>21</v>
      </c>
      <c r="E108" s="87"/>
      <c r="F108" s="208">
        <v>21.35</v>
      </c>
      <c r="G108" s="3"/>
      <c r="H108" s="3"/>
      <c r="I108" s="3"/>
      <c r="J108" s="3"/>
      <c r="K108" s="3"/>
      <c r="L108" s="3"/>
      <c r="M108" s="3"/>
      <c r="N108" s="3"/>
      <c r="O108" s="3"/>
      <c r="P108" s="3"/>
      <c r="Q108" s="3"/>
      <c r="R108" s="3"/>
      <c r="S108" s="3"/>
      <c r="T108" s="3"/>
      <c r="U108" s="3"/>
      <c r="V108" s="3"/>
      <c r="W108" s="3"/>
      <c r="X108" s="3"/>
      <c r="Y108" s="3"/>
      <c r="Z108" s="3"/>
    </row>
    <row r="109" spans="1:26" x14ac:dyDescent="0.15">
      <c r="A109" s="3"/>
      <c r="B109" s="206"/>
      <c r="C109" s="87"/>
      <c r="D109" s="207"/>
      <c r="E109" s="87"/>
      <c r="F109" s="208"/>
      <c r="G109" s="3"/>
      <c r="H109" s="3"/>
      <c r="I109" s="3"/>
      <c r="J109" s="3"/>
      <c r="K109" s="3"/>
      <c r="L109" s="3"/>
      <c r="M109" s="3"/>
      <c r="N109" s="3"/>
      <c r="O109" s="3"/>
      <c r="P109" s="3"/>
      <c r="Q109" s="3"/>
      <c r="R109" s="3"/>
      <c r="S109" s="3"/>
      <c r="T109" s="3"/>
      <c r="U109" s="3"/>
      <c r="V109" s="3"/>
      <c r="W109" s="3"/>
      <c r="X109" s="3"/>
      <c r="Y109" s="3"/>
      <c r="Z109" s="3"/>
    </row>
    <row r="110" spans="1:26" x14ac:dyDescent="0.15">
      <c r="A110" s="3"/>
      <c r="B110" s="206">
        <v>7.5</v>
      </c>
      <c r="C110" s="87"/>
      <c r="D110" s="207">
        <v>22</v>
      </c>
      <c r="E110" s="87"/>
      <c r="F110" s="208">
        <v>21.65</v>
      </c>
      <c r="G110" s="3"/>
      <c r="H110" s="3"/>
      <c r="I110" s="3"/>
      <c r="J110" s="3"/>
      <c r="K110" s="3"/>
      <c r="L110" s="3"/>
      <c r="M110" s="3"/>
      <c r="N110" s="3"/>
      <c r="O110" s="3"/>
      <c r="P110" s="3"/>
      <c r="Q110" s="3"/>
      <c r="R110" s="3"/>
      <c r="S110" s="3"/>
      <c r="T110" s="3"/>
      <c r="U110" s="3"/>
      <c r="V110" s="3"/>
      <c r="W110" s="3"/>
      <c r="X110" s="3"/>
      <c r="Y110" s="3"/>
      <c r="Z110" s="3"/>
    </row>
    <row r="111" spans="1:26" x14ac:dyDescent="0.15">
      <c r="A111" s="3"/>
      <c r="B111" s="209"/>
      <c r="C111" s="170"/>
      <c r="D111" s="170"/>
      <c r="E111" s="170"/>
      <c r="F111" s="210"/>
      <c r="G111" s="3"/>
      <c r="H111" s="3"/>
      <c r="I111" s="3"/>
      <c r="J111" s="3"/>
      <c r="K111" s="3"/>
      <c r="L111" s="3"/>
      <c r="M111" s="3"/>
      <c r="N111" s="3"/>
      <c r="O111" s="3"/>
      <c r="P111" s="3"/>
      <c r="Q111" s="3"/>
      <c r="R111" s="3"/>
      <c r="S111" s="3"/>
      <c r="T111" s="3"/>
      <c r="U111" s="3"/>
      <c r="V111" s="3"/>
      <c r="W111" s="3"/>
      <c r="X111" s="3"/>
      <c r="Y111" s="3"/>
      <c r="Z111" s="3"/>
    </row>
    <row r="112" spans="1:26" x14ac:dyDescent="0.15">
      <c r="A112" s="3"/>
      <c r="B112" s="3" t="s">
        <v>386</v>
      </c>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3"/>
  </sheetPr>
  <dimension ref="A1:AX126"/>
  <sheetViews>
    <sheetView zoomScaleNormal="100" workbookViewId="0">
      <selection activeCell="W51" sqref="W51"/>
    </sheetView>
  </sheetViews>
  <sheetFormatPr baseColWidth="10" defaultColWidth="10.6640625" defaultRowHeight="13" x14ac:dyDescent="0.15"/>
  <cols>
    <col min="1" max="4" width="8.83203125" customWidth="1"/>
    <col min="5" max="5" width="9.83203125" customWidth="1"/>
    <col min="6" max="8" width="8.83203125" customWidth="1"/>
    <col min="9" max="9" width="10.6640625" customWidth="1"/>
    <col min="10" max="10" width="10.83203125" customWidth="1"/>
    <col min="11" max="14" width="8.83203125" customWidth="1"/>
    <col min="15" max="15" width="17.83203125" customWidth="1"/>
    <col min="16" max="17" width="8.83203125" customWidth="1"/>
    <col min="18" max="18" width="9.5" bestFit="1" customWidth="1"/>
    <col min="19" max="256" width="8.83203125" customWidth="1"/>
  </cols>
  <sheetData>
    <row r="1" spans="1:50" ht="19" thickBot="1" x14ac:dyDescent="0.25">
      <c r="A1" s="119" t="s">
        <v>1025</v>
      </c>
      <c r="B1" s="121"/>
      <c r="C1" s="121"/>
      <c r="D1" s="121"/>
      <c r="E1" s="121"/>
      <c r="F1" s="121"/>
      <c r="G1" s="675" t="str">
        <f>'Title Page'!F3</f>
        <v>3UCubed</v>
      </c>
      <c r="H1" s="121"/>
      <c r="I1" s="121"/>
      <c r="J1" s="121"/>
      <c r="K1" s="905">
        <f ca="1">'Title Page'!F23</f>
        <v>45769</v>
      </c>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row>
    <row r="2" spans="1:50" ht="12.75" customHeight="1" x14ac:dyDescent="0.2">
      <c r="A2" s="287"/>
      <c r="B2" s="82"/>
      <c r="C2" s="82"/>
      <c r="D2" s="82"/>
      <c r="E2" s="82"/>
      <c r="F2" s="82"/>
      <c r="G2" s="82"/>
      <c r="H2" s="82"/>
      <c r="I2" s="288"/>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x14ac:dyDescent="0.15">
      <c r="A3" s="82"/>
      <c r="B3" s="351" t="s">
        <v>868</v>
      </c>
      <c r="C3" s="243" t="s">
        <v>555</v>
      </c>
      <c r="D3" s="82"/>
      <c r="E3" s="82"/>
      <c r="F3" s="82"/>
      <c r="G3" s="243" t="s">
        <v>556</v>
      </c>
      <c r="H3" s="82"/>
      <c r="I3" s="8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x14ac:dyDescent="0.15">
      <c r="A4" s="82"/>
      <c r="B4" s="82"/>
      <c r="C4" s="82"/>
      <c r="D4" s="82"/>
      <c r="E4" s="82"/>
      <c r="F4" s="82"/>
      <c r="G4" s="82"/>
      <c r="H4" s="82"/>
      <c r="I4" s="8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x14ac:dyDescent="0.15">
      <c r="A5" s="82"/>
      <c r="B5" s="82"/>
      <c r="C5" s="82"/>
      <c r="D5" s="82"/>
      <c r="E5" s="82"/>
      <c r="F5" s="82"/>
      <c r="G5" s="82"/>
      <c r="H5" s="82"/>
      <c r="I5" s="8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x14ac:dyDescent="0.15">
      <c r="A6" s="82"/>
      <c r="B6" s="82"/>
      <c r="C6" s="82"/>
      <c r="D6" s="82"/>
      <c r="E6" s="82" t="s">
        <v>858</v>
      </c>
      <c r="F6" s="82"/>
      <c r="G6" s="82"/>
      <c r="H6" s="82"/>
      <c r="I6" s="8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x14ac:dyDescent="0.15">
      <c r="A7" s="82"/>
      <c r="B7" s="82"/>
      <c r="C7" s="82"/>
      <c r="D7" s="82"/>
      <c r="E7" s="243" t="s">
        <v>859</v>
      </c>
      <c r="F7" s="82"/>
      <c r="G7" s="82"/>
      <c r="H7" s="82"/>
      <c r="I7" s="8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x14ac:dyDescent="0.15">
      <c r="A8" s="82"/>
      <c r="B8" s="82"/>
      <c r="C8" s="82"/>
      <c r="D8" s="82"/>
      <c r="E8" s="243" t="s">
        <v>1036</v>
      </c>
      <c r="F8" s="82"/>
      <c r="G8" s="82"/>
      <c r="H8" s="82"/>
      <c r="I8" s="8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0" x14ac:dyDescent="0.15">
      <c r="A9" s="82"/>
      <c r="B9" s="82"/>
      <c r="C9" s="82"/>
      <c r="D9" s="82"/>
      <c r="E9" s="82"/>
      <c r="F9" s="82"/>
      <c r="G9" s="82"/>
      <c r="H9" s="82"/>
      <c r="I9" s="8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0" x14ac:dyDescent="0.15">
      <c r="A10" s="82"/>
      <c r="B10" s="82"/>
      <c r="C10" s="82"/>
      <c r="D10" s="82"/>
      <c r="E10" s="82"/>
      <c r="F10" s="82"/>
      <c r="G10" s="82"/>
      <c r="H10" s="82"/>
      <c r="I10" s="8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0" x14ac:dyDescent="0.15">
      <c r="A11" s="82"/>
      <c r="B11" s="82"/>
      <c r="C11" s="82"/>
      <c r="D11" s="82"/>
      <c r="E11" s="82"/>
      <c r="F11" s="82"/>
      <c r="G11" s="82"/>
      <c r="H11" s="82"/>
      <c r="I11" s="8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x14ac:dyDescent="0.15">
      <c r="A12" s="82"/>
      <c r="B12" s="82"/>
      <c r="C12" s="82"/>
      <c r="D12" s="82"/>
      <c r="E12" s="82"/>
      <c r="F12" s="82"/>
      <c r="G12" s="82"/>
      <c r="H12" s="82"/>
      <c r="I12" s="8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x14ac:dyDescent="0.15">
      <c r="A13" s="82"/>
      <c r="B13" s="82"/>
      <c r="C13" s="82"/>
      <c r="D13" s="82"/>
      <c r="E13" s="82"/>
      <c r="F13" s="82"/>
      <c r="G13" s="82"/>
      <c r="H13" s="82"/>
      <c r="I13" s="8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spans="1:50" x14ac:dyDescent="0.15">
      <c r="A14" s="82"/>
      <c r="B14" s="82"/>
      <c r="C14" s="82"/>
      <c r="D14" s="82"/>
      <c r="E14" s="82"/>
      <c r="F14" s="82"/>
      <c r="G14" s="82"/>
      <c r="H14" s="82"/>
      <c r="I14" s="8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x14ac:dyDescent="0.15">
      <c r="A15" s="82"/>
      <c r="B15" s="82"/>
      <c r="C15" s="82"/>
      <c r="D15" s="82"/>
      <c r="E15" s="82"/>
      <c r="F15" s="82"/>
      <c r="G15" s="82"/>
      <c r="H15" s="82"/>
      <c r="I15" s="8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x14ac:dyDescent="0.15">
      <c r="A16" s="82"/>
      <c r="B16" s="82"/>
      <c r="C16" s="82"/>
      <c r="D16" s="82"/>
      <c r="E16" s="82"/>
      <c r="F16" s="82"/>
      <c r="G16" s="82"/>
      <c r="H16" s="82"/>
      <c r="I16" s="8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x14ac:dyDescent="0.15">
      <c r="A17" s="82"/>
      <c r="B17" s="82"/>
      <c r="C17" s="82"/>
      <c r="D17" s="82"/>
      <c r="E17" s="82"/>
      <c r="F17" s="82"/>
      <c r="G17" s="82"/>
      <c r="H17" s="82"/>
      <c r="I17" s="8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spans="1:50" x14ac:dyDescent="0.15">
      <c r="A18" s="82"/>
      <c r="B18" s="82"/>
      <c r="C18" s="82"/>
      <c r="D18" s="82"/>
      <c r="E18" s="82"/>
      <c r="F18" s="82"/>
      <c r="G18" s="82"/>
      <c r="H18" s="82"/>
      <c r="I18" s="8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spans="1:50" x14ac:dyDescent="0.15">
      <c r="A19" s="82"/>
      <c r="B19" s="82"/>
      <c r="C19" s="82"/>
      <c r="D19" s="82"/>
      <c r="E19" s="82"/>
      <c r="F19" s="82"/>
      <c r="G19" s="82"/>
      <c r="H19" s="82"/>
      <c r="I19" s="8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0" x14ac:dyDescent="0.15">
      <c r="A20" s="82"/>
      <c r="B20" s="82"/>
      <c r="C20" s="82"/>
      <c r="D20" s="82"/>
      <c r="E20" s="82"/>
      <c r="F20" s="82"/>
      <c r="G20" s="82"/>
      <c r="H20" s="82"/>
      <c r="I20" s="8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x14ac:dyDescent="0.15">
      <c r="A21" s="82"/>
      <c r="B21" s="82"/>
      <c r="C21" s="82"/>
      <c r="D21" s="82"/>
      <c r="E21" s="243" t="s">
        <v>860</v>
      </c>
      <c r="F21" s="82"/>
      <c r="G21" s="82"/>
      <c r="H21" s="82"/>
      <c r="I21" s="8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x14ac:dyDescent="0.15">
      <c r="A22" s="82"/>
      <c r="B22" s="82"/>
      <c r="C22" s="82"/>
      <c r="D22" s="82"/>
      <c r="E22" s="82" t="s">
        <v>859</v>
      </c>
      <c r="F22" s="82"/>
      <c r="G22" s="82"/>
      <c r="H22" s="82"/>
      <c r="I22" s="8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x14ac:dyDescent="0.15">
      <c r="A23" s="82"/>
      <c r="B23" s="82"/>
      <c r="C23" s="82"/>
      <c r="D23" s="82"/>
      <c r="E23" s="243" t="s">
        <v>865</v>
      </c>
      <c r="F23" s="82"/>
      <c r="G23" s="82"/>
      <c r="H23" s="82"/>
      <c r="I23" s="8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x14ac:dyDescent="0.15">
      <c r="A24" s="82"/>
      <c r="B24" s="82"/>
      <c r="C24" s="82"/>
      <c r="D24" s="82"/>
      <c r="E24" s="82"/>
      <c r="F24" s="82"/>
      <c r="G24" s="82"/>
      <c r="H24" s="82"/>
      <c r="I24" s="8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x14ac:dyDescent="0.15">
      <c r="A25" s="82"/>
      <c r="B25" s="82"/>
      <c r="C25" s="249" t="s">
        <v>1034</v>
      </c>
      <c r="D25" s="82"/>
      <c r="E25" s="82"/>
      <c r="F25" s="82"/>
      <c r="G25" s="249" t="s">
        <v>1035</v>
      </c>
      <c r="H25" s="82"/>
      <c r="I25" s="8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19" thickBot="1" x14ac:dyDescent="0.25">
      <c r="A26" s="119" t="s">
        <v>400</v>
      </c>
      <c r="B26" s="121"/>
      <c r="C26" s="121"/>
      <c r="D26" s="121"/>
      <c r="E26" s="121"/>
      <c r="F26" s="121"/>
      <c r="G26" s="121"/>
      <c r="H26" s="121"/>
      <c r="I26" s="289"/>
      <c r="J26" s="121"/>
      <c r="K26" s="121"/>
      <c r="L26" s="121"/>
      <c r="M26" s="121"/>
      <c r="N26" s="121"/>
      <c r="O26" s="121"/>
      <c r="P26" s="121"/>
      <c r="Q26" s="121"/>
      <c r="R26" s="121"/>
      <c r="S26" s="121"/>
      <c r="T26" s="121"/>
      <c r="U26" s="121"/>
      <c r="V26" s="121"/>
      <c r="W26" s="121"/>
      <c r="X26" s="413" t="s">
        <v>1044</v>
      </c>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row>
    <row r="27" spans="1:50" x14ac:dyDescent="0.15">
      <c r="A27" s="3"/>
      <c r="B27" s="3"/>
      <c r="C27" s="3"/>
      <c r="D27" s="3"/>
      <c r="E27" s="3"/>
      <c r="F27" s="3"/>
      <c r="G27" s="3"/>
      <c r="H27" s="3"/>
      <c r="I27" s="3"/>
      <c r="J27" s="3"/>
      <c r="K27" s="3"/>
      <c r="L27" s="3"/>
      <c r="M27" s="3"/>
      <c r="N27" s="3"/>
      <c r="O27" s="3"/>
      <c r="P27" s="3"/>
      <c r="Q27" s="3"/>
      <c r="R27" s="3" t="s">
        <v>512</v>
      </c>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6" x14ac:dyDescent="0.2">
      <c r="A28" s="270" t="s">
        <v>783</v>
      </c>
      <c r="B28" s="189"/>
      <c r="C28" s="190"/>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16" x14ac:dyDescent="0.2">
      <c r="A29" s="62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6" x14ac:dyDescent="0.2">
      <c r="A30" s="621"/>
      <c r="B30" s="351" t="s">
        <v>868</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4" thickBo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4" thickBot="1" x14ac:dyDescent="0.2">
      <c r="A32" s="3"/>
      <c r="B32" s="187" t="s">
        <v>822</v>
      </c>
      <c r="C32" s="194"/>
      <c r="D32" s="180"/>
      <c r="E32" s="180"/>
      <c r="F32" s="180"/>
      <c r="G32" s="180" t="s">
        <v>512</v>
      </c>
      <c r="H32" s="180"/>
      <c r="I32" s="180"/>
      <c r="J32" s="180" t="s">
        <v>512</v>
      </c>
      <c r="K32" s="180"/>
      <c r="L32" s="181"/>
      <c r="M32" s="3"/>
      <c r="N32" s="3"/>
      <c r="O32" s="3"/>
      <c r="P32" s="3"/>
      <c r="Q32" s="3"/>
      <c r="R32" s="405" t="s">
        <v>868</v>
      </c>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x14ac:dyDescent="0.15">
      <c r="A33" s="3"/>
      <c r="B33" s="178" t="s">
        <v>512</v>
      </c>
      <c r="C33" s="211"/>
      <c r="D33" s="213" t="s">
        <v>832</v>
      </c>
      <c r="E33" s="212" t="s">
        <v>550</v>
      </c>
      <c r="F33" s="241">
        <f>'Antenna Gain'!F8</f>
        <v>436.5</v>
      </c>
      <c r="G33" s="137" t="s">
        <v>551</v>
      </c>
      <c r="H33" s="137"/>
      <c r="I33" s="137"/>
      <c r="J33" s="137" t="s">
        <v>814</v>
      </c>
      <c r="K33" s="242">
        <f>'Antenna Gain'!K8</f>
        <v>0.6868270332187858</v>
      </c>
      <c r="L33" s="182" t="s">
        <v>552</v>
      </c>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x14ac:dyDescent="0.15">
      <c r="A34" s="3"/>
      <c r="B34" s="177"/>
      <c r="C34" s="137"/>
      <c r="D34" s="137"/>
      <c r="E34" s="137"/>
      <c r="F34" s="137"/>
      <c r="G34" s="137"/>
      <c r="H34" s="137"/>
      <c r="I34" s="137"/>
      <c r="J34" s="137"/>
      <c r="K34" s="137"/>
      <c r="L34" s="182"/>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14" thickBot="1" x14ac:dyDescent="0.2">
      <c r="A35" s="3"/>
      <c r="B35" s="177"/>
      <c r="C35" s="137"/>
      <c r="D35" s="137"/>
      <c r="E35" s="137"/>
      <c r="F35" s="200" t="s">
        <v>1032</v>
      </c>
      <c r="G35" s="137"/>
      <c r="H35" s="137"/>
      <c r="I35" s="137"/>
      <c r="J35" s="137"/>
      <c r="K35" s="137"/>
      <c r="L35" s="182"/>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4" thickBot="1" x14ac:dyDescent="0.2">
      <c r="A36" s="3"/>
      <c r="B36" s="178" t="s">
        <v>512</v>
      </c>
      <c r="C36" s="137"/>
      <c r="D36" s="137"/>
      <c r="E36" s="277">
        <f>'Antenna Gain'!E11</f>
        <v>1</v>
      </c>
      <c r="F36" s="184" t="str">
        <f>'Antenna Gain'!F11</f>
        <v>Yagi</v>
      </c>
      <c r="G36" s="185"/>
      <c r="H36" s="137"/>
      <c r="I36" s="137"/>
      <c r="J36" s="137" t="s">
        <v>786</v>
      </c>
      <c r="K36" s="278" t="str">
        <f>'Antenna Gain'!K11</f>
        <v>RHCP</v>
      </c>
      <c r="L36" s="182"/>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4" thickBot="1" x14ac:dyDescent="0.2">
      <c r="A37" s="3"/>
      <c r="B37" s="179"/>
      <c r="C37" s="142"/>
      <c r="D37" s="142"/>
      <c r="E37" s="142"/>
      <c r="F37" s="142"/>
      <c r="G37" s="142"/>
      <c r="H37" s="142"/>
      <c r="I37" s="142"/>
      <c r="J37" s="142"/>
      <c r="K37" s="142"/>
      <c r="L37" s="18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36" customHeight="1" x14ac:dyDescent="0.15">
      <c r="A38" s="3"/>
      <c r="B38" s="267">
        <v>1</v>
      </c>
      <c r="C38" s="150" t="s">
        <v>804</v>
      </c>
      <c r="D38" s="263"/>
      <c r="E38" s="150"/>
      <c r="F38" s="266" t="s">
        <v>802</v>
      </c>
      <c r="G38" s="275">
        <f>'Antenna Gain'!N13</f>
        <v>15.25</v>
      </c>
      <c r="H38" s="150" t="s">
        <v>581</v>
      </c>
      <c r="I38" s="263" t="s">
        <v>787</v>
      </c>
      <c r="J38" s="271">
        <f>'Antenna Gain'!Q13</f>
        <v>34.556519610157267</v>
      </c>
      <c r="K38" s="150" t="s">
        <v>729</v>
      </c>
      <c r="L38" s="155"/>
      <c r="M38" s="3"/>
      <c r="N38" s="3"/>
      <c r="O38" s="3"/>
      <c r="P38" s="3"/>
      <c r="Q38" s="3"/>
      <c r="R38" s="406">
        <f>2*(F43*(79.76/INDEX(J38:J41,E36,1)))</f>
        <v>23.081028095362935</v>
      </c>
      <c r="S38" s="264"/>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36" customHeight="1" x14ac:dyDescent="0.15">
      <c r="A39" s="3"/>
      <c r="B39" s="268">
        <v>2</v>
      </c>
      <c r="C39" s="157" t="s">
        <v>818</v>
      </c>
      <c r="D39" s="264"/>
      <c r="E39" s="157"/>
      <c r="F39" s="264" t="s">
        <v>785</v>
      </c>
      <c r="G39" s="274">
        <f>'Antenna Gain'!N14</f>
        <v>12.900346113625181</v>
      </c>
      <c r="H39" s="157" t="s">
        <v>581</v>
      </c>
      <c r="I39" s="264" t="s">
        <v>787</v>
      </c>
      <c r="J39" s="273">
        <f>'Antenna Gain'!Q14</f>
        <v>45.782428607826922</v>
      </c>
      <c r="K39" s="157" t="s">
        <v>729</v>
      </c>
      <c r="L39" s="163"/>
      <c r="M39" s="3"/>
      <c r="N39" s="3"/>
      <c r="O39" s="3"/>
      <c r="P39" s="3"/>
      <c r="Q39" s="3"/>
      <c r="R39" s="78"/>
      <c r="S39" s="80"/>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36" customHeight="1" x14ac:dyDescent="0.15">
      <c r="A40" s="3"/>
      <c r="B40" s="269">
        <v>3</v>
      </c>
      <c r="C40" s="165" t="s">
        <v>819</v>
      </c>
      <c r="D40" s="265"/>
      <c r="E40" s="165"/>
      <c r="F40" s="265" t="s">
        <v>785</v>
      </c>
      <c r="G40" s="276">
        <f>'Antenna Gain'!N15</f>
        <v>25.251187052233579</v>
      </c>
      <c r="H40" s="165" t="s">
        <v>581</v>
      </c>
      <c r="I40" s="265" t="s">
        <v>787</v>
      </c>
      <c r="J40" s="272">
        <f>'Antenna Gain'!Q15</f>
        <v>8.9092528955071906</v>
      </c>
      <c r="K40" s="165" t="s">
        <v>729</v>
      </c>
      <c r="L40" s="169"/>
      <c r="M40" s="3"/>
      <c r="N40" s="3"/>
      <c r="O40" s="3"/>
      <c r="P40" s="3"/>
      <c r="Q40" s="3"/>
      <c r="R40" s="81"/>
      <c r="S40" s="8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36" customHeight="1" x14ac:dyDescent="0.15">
      <c r="A41" s="3"/>
      <c r="B41" s="279">
        <v>4</v>
      </c>
      <c r="C41" s="137" t="s">
        <v>820</v>
      </c>
      <c r="D41" s="181"/>
      <c r="E41" s="137"/>
      <c r="F41" s="182" t="s">
        <v>785</v>
      </c>
      <c r="G41" s="280">
        <f>'Antenna Gain'!N16</f>
        <v>18.5</v>
      </c>
      <c r="H41" s="137" t="s">
        <v>581</v>
      </c>
      <c r="I41" s="182" t="s">
        <v>787</v>
      </c>
      <c r="J41" s="281">
        <f>'Antenna Gain'!Q16</f>
        <v>24</v>
      </c>
      <c r="K41" s="137" t="s">
        <v>729</v>
      </c>
      <c r="L41" s="282"/>
      <c r="M41" s="3"/>
      <c r="N41" s="3"/>
      <c r="O41" s="3"/>
      <c r="P41" s="3"/>
      <c r="Q41" s="3"/>
      <c r="R41" s="81"/>
      <c r="S41" s="8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x14ac:dyDescent="0.15">
      <c r="A42" s="3"/>
      <c r="B42" s="290"/>
      <c r="C42" s="291"/>
      <c r="D42" s="291"/>
      <c r="E42" s="291"/>
      <c r="F42" s="291"/>
      <c r="G42" s="291"/>
      <c r="H42" s="291"/>
      <c r="I42" s="291"/>
      <c r="J42" s="291"/>
      <c r="K42" s="291"/>
      <c r="L42" s="292"/>
      <c r="M42" s="3"/>
      <c r="N42" s="3"/>
      <c r="O42" s="3"/>
      <c r="P42" s="3"/>
      <c r="Q42" s="3"/>
      <c r="R42" s="81"/>
      <c r="S42" s="8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x14ac:dyDescent="0.15">
      <c r="A43" s="3"/>
      <c r="B43" s="293" t="s">
        <v>512</v>
      </c>
      <c r="C43" s="294" t="s">
        <v>862</v>
      </c>
      <c r="D43" s="295"/>
      <c r="E43" s="295"/>
      <c r="F43" s="284">
        <v>5</v>
      </c>
      <c r="G43" s="285" t="s">
        <v>863</v>
      </c>
      <c r="H43" s="294" t="s">
        <v>861</v>
      </c>
      <c r="I43" s="295"/>
      <c r="J43" s="295"/>
      <c r="K43" s="283">
        <f>-10*LOG10(3282.81*((SIN(RADIANS(R38))^2/(R38^2))))</f>
        <v>0.23620359159426438</v>
      </c>
      <c r="L43" s="185" t="s">
        <v>554</v>
      </c>
      <c r="M43" s="3"/>
      <c r="N43" s="3"/>
      <c r="O43" s="3"/>
      <c r="P43" s="3"/>
      <c r="Q43" s="3"/>
      <c r="R43" s="81"/>
      <c r="S43" s="8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x14ac:dyDescent="0.15">
      <c r="A44" s="3"/>
      <c r="B44" s="296"/>
      <c r="C44" s="297"/>
      <c r="D44" s="297"/>
      <c r="E44" s="297"/>
      <c r="F44" s="297"/>
      <c r="G44" s="297"/>
      <c r="H44" s="297"/>
      <c r="I44" s="297"/>
      <c r="J44" s="297"/>
      <c r="K44" s="297"/>
      <c r="L44" s="298"/>
      <c r="M44" s="3"/>
      <c r="N44" s="3"/>
      <c r="O44" s="3"/>
      <c r="P44" s="3"/>
      <c r="Q44" s="3"/>
      <c r="R44" s="81"/>
      <c r="S44" s="8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spans="1:50" x14ac:dyDescent="0.15">
      <c r="A45" s="3"/>
      <c r="B45" s="3"/>
      <c r="C45" s="3"/>
      <c r="D45" s="3"/>
      <c r="E45" s="3"/>
      <c r="F45" s="3"/>
      <c r="G45" s="3"/>
      <c r="H45" s="3" t="s">
        <v>512</v>
      </c>
      <c r="I45" s="3"/>
      <c r="J45" s="3"/>
      <c r="K45" s="3"/>
      <c r="L45" s="3"/>
      <c r="M45" s="3"/>
      <c r="N45" s="3"/>
      <c r="O45" s="3"/>
      <c r="P45" s="3"/>
      <c r="Q45" s="3"/>
      <c r="R45" s="81"/>
      <c r="S45" s="8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x14ac:dyDescent="0.15">
      <c r="A46" s="3"/>
      <c r="B46" s="3"/>
      <c r="C46" s="3"/>
      <c r="D46" s="3"/>
      <c r="E46" s="3"/>
      <c r="F46" s="3"/>
      <c r="G46" s="3"/>
      <c r="H46" s="3"/>
      <c r="I46" s="3"/>
      <c r="J46" s="3"/>
      <c r="K46" s="3"/>
      <c r="L46" s="3"/>
      <c r="M46" s="3"/>
      <c r="N46" s="3"/>
      <c r="O46" s="3" t="s">
        <v>512</v>
      </c>
      <c r="P46" s="3"/>
      <c r="Q46" s="3"/>
      <c r="R46" s="81"/>
      <c r="S46" s="8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x14ac:dyDescent="0.15">
      <c r="A47" s="3"/>
      <c r="B47" s="3"/>
      <c r="C47" s="3"/>
      <c r="D47" s="3"/>
      <c r="E47" s="3"/>
      <c r="F47" s="3"/>
      <c r="G47" s="3"/>
      <c r="H47" s="3"/>
      <c r="I47" s="3"/>
      <c r="J47" s="3"/>
      <c r="K47" s="3"/>
      <c r="L47" s="3"/>
      <c r="M47" s="3"/>
      <c r="N47" s="3"/>
      <c r="O47" s="3"/>
      <c r="P47" s="3"/>
      <c r="Q47" s="3"/>
      <c r="R47" s="81"/>
      <c r="S47" s="8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4" thickBot="1" x14ac:dyDescent="0.2">
      <c r="A48" s="3"/>
      <c r="B48" s="3"/>
      <c r="C48" s="3"/>
      <c r="D48" s="3"/>
      <c r="E48" s="3"/>
      <c r="F48" s="3"/>
      <c r="G48" s="3"/>
      <c r="H48" s="3"/>
      <c r="I48" s="3"/>
      <c r="J48" s="3"/>
      <c r="K48" s="3"/>
      <c r="L48" s="3"/>
      <c r="M48" s="3"/>
      <c r="N48" s="3"/>
      <c r="O48" s="3"/>
      <c r="P48" s="3"/>
      <c r="Q48" s="3"/>
      <c r="R48" s="84"/>
      <c r="S48" s="86"/>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4" thickBot="1" x14ac:dyDescent="0.2">
      <c r="A49" s="3"/>
      <c r="B49" s="187" t="s">
        <v>831</v>
      </c>
      <c r="C49" s="194"/>
      <c r="D49" s="180"/>
      <c r="E49" s="180"/>
      <c r="F49" s="180"/>
      <c r="G49" s="180"/>
      <c r="H49" s="180"/>
      <c r="I49" s="180"/>
      <c r="J49" s="180"/>
      <c r="K49" s="180"/>
      <c r="L49" s="181"/>
      <c r="M49" s="3"/>
      <c r="N49" s="3"/>
      <c r="O49" s="3"/>
      <c r="P49" s="3"/>
      <c r="Q49" s="3"/>
      <c r="R49" s="318"/>
      <c r="S49" s="181"/>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x14ac:dyDescent="0.15">
      <c r="A50" s="3"/>
      <c r="B50" s="177"/>
      <c r="C50" s="137"/>
      <c r="D50" s="138" t="s">
        <v>832</v>
      </c>
      <c r="E50" s="137" t="s">
        <v>550</v>
      </c>
      <c r="F50" s="239">
        <f>'Antenna Gain'!F22</f>
        <v>436.5</v>
      </c>
      <c r="G50" s="137" t="s">
        <v>551</v>
      </c>
      <c r="H50" s="137"/>
      <c r="I50" s="137"/>
      <c r="J50" s="137" t="s">
        <v>814</v>
      </c>
      <c r="K50" s="240">
        <f>'Antenna Gain'!K22</f>
        <v>0.6868270332187858</v>
      </c>
      <c r="L50" s="182" t="s">
        <v>552</v>
      </c>
      <c r="M50" s="3"/>
      <c r="N50" s="3"/>
      <c r="O50" s="3"/>
      <c r="P50" s="3"/>
      <c r="Q50" s="3"/>
      <c r="R50" s="402" t="s">
        <v>870</v>
      </c>
      <c r="S50" s="32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4" thickBot="1" x14ac:dyDescent="0.2">
      <c r="A51" s="3"/>
      <c r="B51" s="177"/>
      <c r="C51" s="137"/>
      <c r="D51" s="137" t="s">
        <v>512</v>
      </c>
      <c r="E51" s="137" t="s">
        <v>512</v>
      </c>
      <c r="F51" s="200" t="s">
        <v>1032</v>
      </c>
      <c r="G51" s="137"/>
      <c r="H51" s="137"/>
      <c r="I51" s="137"/>
      <c r="J51" s="137"/>
      <c r="K51" s="137"/>
      <c r="L51" s="182"/>
      <c r="M51" s="3"/>
      <c r="N51" s="3"/>
      <c r="O51" s="3"/>
      <c r="P51" s="3"/>
      <c r="Q51" s="3"/>
      <c r="R51" s="322"/>
      <c r="S51" s="32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4" thickBot="1" x14ac:dyDescent="0.2">
      <c r="A52" s="3"/>
      <c r="B52" s="178" t="s">
        <v>512</v>
      </c>
      <c r="C52" s="137"/>
      <c r="D52" s="137"/>
      <c r="E52" s="315">
        <f>'Antenna Gain'!E24</f>
        <v>3</v>
      </c>
      <c r="F52" s="313" t="str">
        <f>'Antenna Gain'!F24</f>
        <v>Canted Turnstyle</v>
      </c>
      <c r="G52" s="185"/>
      <c r="H52" s="137"/>
      <c r="I52" s="137"/>
      <c r="J52" s="137" t="s">
        <v>786</v>
      </c>
      <c r="K52" s="278" t="str">
        <f>'Antenna Gain'!K24</f>
        <v>RHCP</v>
      </c>
      <c r="L52" s="182"/>
      <c r="M52" s="3"/>
      <c r="N52" s="3"/>
      <c r="O52" s="411" t="s">
        <v>1042</v>
      </c>
      <c r="P52" s="3"/>
      <c r="Q52" s="3"/>
      <c r="R52" s="402" t="s">
        <v>869</v>
      </c>
      <c r="S52" s="32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4" thickBot="1" x14ac:dyDescent="0.2">
      <c r="A53" s="3"/>
      <c r="B53" s="177"/>
      <c r="C53" s="137"/>
      <c r="D53" s="137"/>
      <c r="E53" s="137"/>
      <c r="F53" s="137" t="s">
        <v>512</v>
      </c>
      <c r="G53" s="137"/>
      <c r="H53" s="137"/>
      <c r="I53" s="137"/>
      <c r="J53" s="137"/>
      <c r="K53" s="137"/>
      <c r="L53" s="182"/>
      <c r="M53" s="3"/>
      <c r="N53" s="3"/>
      <c r="O53" s="412" t="s">
        <v>1043</v>
      </c>
      <c r="P53" s="3"/>
      <c r="Q53" s="3"/>
      <c r="R53" s="233" t="s">
        <v>512</v>
      </c>
      <c r="S53" s="235"/>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24.75" customHeight="1" x14ac:dyDescent="0.15">
      <c r="A54" s="3"/>
      <c r="B54" s="133">
        <v>1</v>
      </c>
      <c r="C54" s="134" t="s">
        <v>823</v>
      </c>
      <c r="D54" s="134"/>
      <c r="E54" s="134"/>
      <c r="F54" s="134"/>
      <c r="G54" s="134" t="s">
        <v>785</v>
      </c>
      <c r="H54" s="134">
        <f>'Antenna Gain'!H26</f>
        <v>2.15</v>
      </c>
      <c r="I54" s="134" t="s">
        <v>789</v>
      </c>
      <c r="J54" s="134" t="s">
        <v>787</v>
      </c>
      <c r="K54" s="134">
        <f>'Antenna Gain'!L26</f>
        <v>156.19999999999999</v>
      </c>
      <c r="L54" s="135" t="s">
        <v>729</v>
      </c>
      <c r="M54" s="117"/>
      <c r="N54" s="118"/>
      <c r="O54" s="410" t="s">
        <v>1037</v>
      </c>
      <c r="P54" s="599" t="s">
        <v>359</v>
      </c>
      <c r="Q54" s="600"/>
      <c r="R54" s="320">
        <f>IF(G63&lt;100,-10*LOG10(COS(RADIANS(90-G63))),"No Signal")</f>
        <v>10.597039916698797</v>
      </c>
      <c r="S54" s="321" t="s">
        <v>554</v>
      </c>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24.75" customHeight="1" x14ac:dyDescent="0.15">
      <c r="A55" s="3"/>
      <c r="B55" s="136">
        <v>2</v>
      </c>
      <c r="C55" s="137" t="s">
        <v>824</v>
      </c>
      <c r="D55" s="137"/>
      <c r="E55" s="137"/>
      <c r="F55" s="137"/>
      <c r="G55" s="137" t="s">
        <v>785</v>
      </c>
      <c r="H55" s="137">
        <f>'Antenna Gain'!H27</f>
        <v>2.15</v>
      </c>
      <c r="I55" s="137" t="s">
        <v>789</v>
      </c>
      <c r="J55" s="137" t="s">
        <v>787</v>
      </c>
      <c r="K55" s="137">
        <f>'Antenna Gain'!L27</f>
        <v>156.19999999999999</v>
      </c>
      <c r="L55" s="139" t="s">
        <v>729</v>
      </c>
      <c r="M55" s="117"/>
      <c r="N55" s="118"/>
      <c r="O55" s="409" t="s">
        <v>1038</v>
      </c>
      <c r="P55" s="599" t="s">
        <v>360</v>
      </c>
      <c r="Q55" s="600"/>
      <c r="R55" s="316">
        <f>IF(G63&lt;90.001,-10*LOG10(COS(RADIANS($G$63))),-10*LOG(-COS(RADIANS($G$63))))</f>
        <v>1.6557739825009406E-2</v>
      </c>
      <c r="S55" s="182" t="s">
        <v>554</v>
      </c>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25.5" customHeight="1" x14ac:dyDescent="0.15">
      <c r="A56" s="3"/>
      <c r="B56" s="140">
        <v>3</v>
      </c>
      <c r="C56" s="87" t="s">
        <v>825</v>
      </c>
      <c r="D56" s="87"/>
      <c r="E56" s="87"/>
      <c r="F56" s="87"/>
      <c r="G56" s="87" t="s">
        <v>785</v>
      </c>
      <c r="H56" s="299">
        <f>'Antenna Gain'!H28</f>
        <v>0</v>
      </c>
      <c r="I56" s="87" t="s">
        <v>581</v>
      </c>
      <c r="J56" s="87" t="s">
        <v>787</v>
      </c>
      <c r="K56" s="87">
        <f>'Antenna Gain'!L28</f>
        <v>90</v>
      </c>
      <c r="L56" s="94" t="s">
        <v>729</v>
      </c>
      <c r="M56" s="117"/>
      <c r="N56" s="118"/>
      <c r="O56" s="408" t="s">
        <v>1041</v>
      </c>
      <c r="P56" s="599" t="s">
        <v>361</v>
      </c>
      <c r="Q56" s="600"/>
      <c r="R56" s="734">
        <f>IF(K52=K36,0.00075*(G63)^2, 0.00075*(180-G63)^2)</f>
        <v>1.8749999999999999E-2</v>
      </c>
      <c r="S56" s="321" t="s">
        <v>554</v>
      </c>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24.75" customHeight="1" x14ac:dyDescent="0.15">
      <c r="A57" s="3"/>
      <c r="B57" s="136">
        <v>4</v>
      </c>
      <c r="C57" s="137" t="s">
        <v>826</v>
      </c>
      <c r="D57" s="137"/>
      <c r="E57" s="192" t="s">
        <v>793</v>
      </c>
      <c r="F57" s="137" t="s">
        <v>794</v>
      </c>
      <c r="G57" s="137" t="s">
        <v>785</v>
      </c>
      <c r="H57" s="300">
        <f>'Antenna Gain'!H29</f>
        <v>4</v>
      </c>
      <c r="I57" s="137" t="s">
        <v>581</v>
      </c>
      <c r="J57" s="137" t="s">
        <v>787</v>
      </c>
      <c r="K57" s="137">
        <f>'Antenna Gain'!L29</f>
        <v>150</v>
      </c>
      <c r="L57" s="139" t="s">
        <v>729</v>
      </c>
      <c r="M57" s="117"/>
      <c r="N57" s="118"/>
      <c r="O57" s="409" t="s">
        <v>1039</v>
      </c>
      <c r="P57" s="599" t="s">
        <v>362</v>
      </c>
      <c r="Q57" s="600"/>
      <c r="R57" s="316">
        <f>-1.5*(-(4-10*LOG10(1.256*(1+COS(RADIANS(G63))))))</f>
        <v>1.2111942513925777E-2</v>
      </c>
      <c r="S57" s="182" t="s">
        <v>554</v>
      </c>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24.75" customHeight="1" x14ac:dyDescent="0.15">
      <c r="A58" s="3"/>
      <c r="B58" s="140">
        <v>5</v>
      </c>
      <c r="C58" s="729" t="s">
        <v>932</v>
      </c>
      <c r="D58" s="87"/>
      <c r="E58" s="730" t="s">
        <v>512</v>
      </c>
      <c r="F58" s="87"/>
      <c r="G58" s="87" t="s">
        <v>785</v>
      </c>
      <c r="H58" s="731">
        <f>'Antenna Gain'!H30</f>
        <v>6</v>
      </c>
      <c r="I58" s="87" t="s">
        <v>936</v>
      </c>
      <c r="J58" s="87" t="s">
        <v>787</v>
      </c>
      <c r="K58" s="729">
        <f>'Antenna Gain'!L30</f>
        <v>90</v>
      </c>
      <c r="L58" s="94" t="s">
        <v>729</v>
      </c>
      <c r="M58" s="112"/>
      <c r="N58" s="113"/>
      <c r="O58" s="408" t="s">
        <v>1040</v>
      </c>
      <c r="P58" s="599" t="s">
        <v>666</v>
      </c>
      <c r="Q58" s="600"/>
      <c r="R58" s="732">
        <f>-10*LOG10(3282.81*((SIN(RADIANS(G63*1.7724))^2)/((G63*1.7724)^2)))</f>
        <v>3.4655126310997937E-2</v>
      </c>
      <c r="S58" s="733" t="s">
        <v>554</v>
      </c>
      <c r="T58" s="3"/>
      <c r="U58" s="3"/>
      <c r="V58" s="3"/>
      <c r="W58" s="3"/>
      <c r="X58" s="3" t="s">
        <v>512</v>
      </c>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24.75" customHeight="1" x14ac:dyDescent="0.15">
      <c r="A59" s="3"/>
      <c r="B59" s="136">
        <v>6</v>
      </c>
      <c r="C59" s="456" t="s">
        <v>819</v>
      </c>
      <c r="D59" s="137"/>
      <c r="E59" s="736" t="s">
        <v>664</v>
      </c>
      <c r="F59" s="137"/>
      <c r="G59" s="137" t="s">
        <v>785</v>
      </c>
      <c r="H59" s="281">
        <f>'Antenna Gain'!H31</f>
        <v>25.251187052233579</v>
      </c>
      <c r="I59" s="137" t="s">
        <v>936</v>
      </c>
      <c r="J59" s="137" t="s">
        <v>787</v>
      </c>
      <c r="K59" s="379">
        <f>'Antenna Gain'!L31</f>
        <v>8.9092528955071906</v>
      </c>
      <c r="L59" s="139" t="s">
        <v>729</v>
      </c>
      <c r="M59" s="117"/>
      <c r="N59" s="117"/>
      <c r="O59" s="740" t="s">
        <v>663</v>
      </c>
      <c r="P59" s="741" t="s">
        <v>667</v>
      </c>
      <c r="Q59" s="600"/>
      <c r="R59" s="379">
        <f>-10*LOG10(3282.1*((SIN(RADIANS(U59))^2/(U59^2))))</f>
        <v>3.8776576904655222</v>
      </c>
      <c r="S59" s="735" t="s">
        <v>554</v>
      </c>
      <c r="T59" s="3"/>
      <c r="U59" s="738">
        <f>2*(G63*(79.76/K59))</f>
        <v>89.524902857142877</v>
      </c>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24.75" customHeight="1" thickBot="1" x14ac:dyDescent="0.2">
      <c r="A60" s="3"/>
      <c r="B60" s="198">
        <v>7</v>
      </c>
      <c r="C60" s="302" t="s">
        <v>827</v>
      </c>
      <c r="D60" s="196"/>
      <c r="E60" s="737" t="s">
        <v>665</v>
      </c>
      <c r="F60" s="196"/>
      <c r="G60" s="196" t="s">
        <v>785</v>
      </c>
      <c r="H60" s="301">
        <f>'Antenna Gain'!H32</f>
        <v>0</v>
      </c>
      <c r="I60" s="196" t="s">
        <v>762</v>
      </c>
      <c r="J60" s="196" t="s">
        <v>787</v>
      </c>
      <c r="K60" s="302">
        <f>'Antenna Gain'!L32</f>
        <v>360</v>
      </c>
      <c r="L60" s="197" t="s">
        <v>729</v>
      </c>
      <c r="M60" s="117"/>
      <c r="N60" s="117"/>
      <c r="O60" s="739" t="s">
        <v>937</v>
      </c>
      <c r="P60" s="741" t="s">
        <v>668</v>
      </c>
      <c r="Q60" s="600"/>
      <c r="R60" s="382">
        <v>0</v>
      </c>
      <c r="S60" s="285" t="s">
        <v>554</v>
      </c>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x14ac:dyDescent="0.15">
      <c r="A61" s="3"/>
      <c r="B61" s="304"/>
      <c r="C61" s="305"/>
      <c r="D61" s="305"/>
      <c r="E61" s="305"/>
      <c r="F61" s="305"/>
      <c r="G61" s="305"/>
      <c r="H61" s="305"/>
      <c r="I61" s="305"/>
      <c r="J61" s="305"/>
      <c r="K61" s="305"/>
      <c r="L61" s="306"/>
      <c r="M61" s="3"/>
      <c r="N61" s="3"/>
      <c r="O61" s="3"/>
      <c r="P61" s="3"/>
      <c r="Q61" s="3"/>
      <c r="R61" s="81"/>
      <c r="S61" s="8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x14ac:dyDescent="0.15">
      <c r="A62" s="3"/>
      <c r="B62" s="307"/>
      <c r="C62" s="294" t="s">
        <v>195</v>
      </c>
      <c r="D62" s="294"/>
      <c r="E62" s="294"/>
      <c r="F62" s="294"/>
      <c r="G62" s="295"/>
      <c r="H62" s="295"/>
      <c r="I62" s="308" t="s">
        <v>866</v>
      </c>
      <c r="J62" s="308"/>
      <c r="K62" s="295"/>
      <c r="L62" s="309"/>
      <c r="M62" s="3"/>
      <c r="N62" s="3"/>
      <c r="O62" s="3"/>
      <c r="P62" s="3"/>
      <c r="Q62" s="3"/>
      <c r="R62" s="81"/>
      <c r="S62" s="8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x14ac:dyDescent="0.15">
      <c r="A63" s="3"/>
      <c r="B63" s="307"/>
      <c r="C63" s="294" t="s">
        <v>871</v>
      </c>
      <c r="D63" s="294"/>
      <c r="E63" s="294"/>
      <c r="F63" s="294"/>
      <c r="G63" s="319">
        <v>5</v>
      </c>
      <c r="H63" s="285" t="s">
        <v>729</v>
      </c>
      <c r="I63" s="308" t="s">
        <v>867</v>
      </c>
      <c r="J63" s="308"/>
      <c r="K63" s="283">
        <f>INDEX(R54:R60,E52, 1)</f>
        <v>1.8749999999999999E-2</v>
      </c>
      <c r="L63" s="303" t="s">
        <v>554</v>
      </c>
      <c r="M63" s="3"/>
      <c r="N63" s="3"/>
      <c r="O63" s="3"/>
      <c r="P63" s="3"/>
      <c r="Q63" s="3"/>
      <c r="R63" s="81"/>
      <c r="S63" s="8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4" thickBot="1" x14ac:dyDescent="0.2">
      <c r="A64" s="3"/>
      <c r="B64" s="310"/>
      <c r="C64" s="311"/>
      <c r="D64" s="311"/>
      <c r="E64" s="311"/>
      <c r="F64" s="311"/>
      <c r="G64" s="314"/>
      <c r="H64" s="311"/>
      <c r="I64" s="311"/>
      <c r="J64" s="311"/>
      <c r="K64" s="311"/>
      <c r="L64" s="312"/>
      <c r="M64" s="3" t="s">
        <v>512</v>
      </c>
      <c r="N64" s="3" t="s">
        <v>512</v>
      </c>
      <c r="O64" s="3"/>
      <c r="P64" s="3"/>
      <c r="Q64" s="3"/>
      <c r="R64" s="81"/>
      <c r="S64" s="8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x14ac:dyDescent="0.15">
      <c r="A65" s="3"/>
      <c r="B65" s="3"/>
      <c r="C65" s="3"/>
      <c r="D65" s="3"/>
      <c r="E65" s="3"/>
      <c r="F65" s="3"/>
      <c r="G65" s="3"/>
      <c r="H65" s="3"/>
      <c r="I65" s="3"/>
      <c r="J65" s="3"/>
      <c r="K65" s="3"/>
      <c r="L65" s="3"/>
      <c r="M65" s="3"/>
      <c r="N65" s="3"/>
      <c r="O65" s="3"/>
      <c r="P65" s="3"/>
      <c r="Q65" s="3"/>
      <c r="R65" s="81"/>
      <c r="S65" s="8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x14ac:dyDescent="0.15">
      <c r="A66" s="3"/>
      <c r="B66" s="3"/>
      <c r="C66" s="3"/>
      <c r="D66" s="3"/>
      <c r="E66" s="3"/>
      <c r="F66" s="3"/>
      <c r="G66" s="3"/>
      <c r="H66" s="3"/>
      <c r="I66" s="3"/>
      <c r="J66" s="3"/>
      <c r="K66" s="3"/>
      <c r="L66" s="3"/>
      <c r="M66" s="3"/>
      <c r="N66" s="3"/>
      <c r="O66" s="3"/>
      <c r="P66" s="3"/>
      <c r="Q66" s="3"/>
      <c r="R66" s="81"/>
      <c r="S66" s="8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6" x14ac:dyDescent="0.2">
      <c r="A67" s="38"/>
      <c r="B67" s="38"/>
      <c r="C67" s="403" t="s">
        <v>829</v>
      </c>
      <c r="D67" s="38"/>
      <c r="E67" s="38"/>
      <c r="F67" s="38"/>
      <c r="G67" s="38"/>
      <c r="H67" s="38"/>
      <c r="I67" s="38"/>
      <c r="J67" s="403" t="s">
        <v>830</v>
      </c>
      <c r="K67" s="38"/>
      <c r="L67" s="38"/>
      <c r="M67" s="38"/>
      <c r="N67" s="38"/>
      <c r="O67" s="38"/>
      <c r="P67" s="38"/>
      <c r="Q67" s="38"/>
      <c r="R67" s="81"/>
      <c r="S67" s="83"/>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row>
    <row r="68" spans="1:50" x14ac:dyDescent="0.15">
      <c r="A68" s="3"/>
      <c r="B68" s="3"/>
      <c r="C68" s="3"/>
      <c r="D68" s="3"/>
      <c r="E68" s="3"/>
      <c r="F68" s="3"/>
      <c r="G68" s="3"/>
      <c r="H68" s="3"/>
      <c r="I68" s="3"/>
      <c r="J68" s="3"/>
      <c r="K68" s="3"/>
      <c r="L68" s="3"/>
      <c r="M68" s="3"/>
      <c r="N68" s="3"/>
      <c r="O68" s="3"/>
      <c r="P68" s="3"/>
      <c r="Q68" s="3"/>
      <c r="R68" s="81"/>
      <c r="S68" s="8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row>
    <row r="69" spans="1:50" ht="16" x14ac:dyDescent="0.2">
      <c r="A69" s="270" t="s">
        <v>1027</v>
      </c>
      <c r="B69" s="189"/>
      <c r="C69" s="189"/>
      <c r="D69" s="190"/>
      <c r="E69" s="3"/>
      <c r="F69" s="3"/>
      <c r="G69" s="3"/>
      <c r="H69" s="3"/>
      <c r="I69" s="3"/>
      <c r="J69" s="3"/>
      <c r="K69" s="3"/>
      <c r="L69" s="3"/>
      <c r="M69" s="3"/>
      <c r="N69" s="3"/>
      <c r="O69" s="3"/>
      <c r="P69" s="3"/>
      <c r="Q69" s="3"/>
      <c r="R69" s="81"/>
      <c r="S69" s="8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row>
    <row r="70" spans="1:50" ht="14" thickBot="1" x14ac:dyDescent="0.2">
      <c r="A70" s="3"/>
      <c r="B70" s="3"/>
      <c r="C70" s="3"/>
      <c r="D70" s="3"/>
      <c r="E70" s="3"/>
      <c r="F70" s="3"/>
      <c r="G70" s="3"/>
      <c r="H70" s="3"/>
      <c r="I70" s="3"/>
      <c r="J70" s="3"/>
      <c r="K70" s="3"/>
      <c r="L70" s="3"/>
      <c r="M70" s="3"/>
      <c r="N70" s="3"/>
      <c r="O70" s="3"/>
      <c r="P70" s="3"/>
      <c r="Q70" s="3"/>
      <c r="R70" s="84"/>
      <c r="S70" s="86"/>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row>
    <row r="71" spans="1:50" ht="14" thickBot="1" x14ac:dyDescent="0.2">
      <c r="A71" s="3"/>
      <c r="B71" s="187" t="s">
        <v>831</v>
      </c>
      <c r="C71" s="194"/>
      <c r="D71" s="180"/>
      <c r="E71" s="180"/>
      <c r="F71" s="180"/>
      <c r="G71" s="180"/>
      <c r="H71" s="180"/>
      <c r="I71" s="180"/>
      <c r="J71" s="180"/>
      <c r="K71" s="180"/>
      <c r="L71" s="181"/>
      <c r="M71" s="3"/>
      <c r="N71" s="3"/>
      <c r="O71" s="3"/>
      <c r="P71" s="3"/>
      <c r="Q71" s="3"/>
      <c r="R71" s="318"/>
      <c r="S71" s="181"/>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row>
    <row r="72" spans="1:50" x14ac:dyDescent="0.15">
      <c r="A72" s="3"/>
      <c r="B72" s="177"/>
      <c r="C72" s="137"/>
      <c r="D72" s="138" t="s">
        <v>833</v>
      </c>
      <c r="E72" s="137" t="s">
        <v>550</v>
      </c>
      <c r="F72" s="239">
        <f>'Antenna Gain'!F39</f>
        <v>436.5</v>
      </c>
      <c r="G72" s="137" t="s">
        <v>551</v>
      </c>
      <c r="H72" s="137"/>
      <c r="I72" s="137"/>
      <c r="J72" s="137" t="s">
        <v>814</v>
      </c>
      <c r="K72" s="240">
        <f>'Antenna Gain'!K39</f>
        <v>0.6868270332187858</v>
      </c>
      <c r="L72" s="182" t="s">
        <v>552</v>
      </c>
      <c r="M72" s="3"/>
      <c r="N72" s="3"/>
      <c r="O72" s="3"/>
      <c r="P72" s="3"/>
      <c r="Q72" s="3"/>
      <c r="R72" s="402" t="s">
        <v>870</v>
      </c>
      <c r="S72" s="32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row>
    <row r="73" spans="1:50" ht="14" thickBot="1" x14ac:dyDescent="0.2">
      <c r="A73" s="3"/>
      <c r="B73" s="177"/>
      <c r="C73" s="137"/>
      <c r="D73" s="137" t="s">
        <v>512</v>
      </c>
      <c r="E73" s="137" t="s">
        <v>512</v>
      </c>
      <c r="F73" s="200" t="s">
        <v>1032</v>
      </c>
      <c r="G73" s="137"/>
      <c r="H73" s="137"/>
      <c r="I73" s="137"/>
      <c r="J73" s="137"/>
      <c r="K73" s="137"/>
      <c r="L73" s="182"/>
      <c r="M73" s="3"/>
      <c r="N73" s="3"/>
      <c r="O73" s="3"/>
      <c r="P73" s="3"/>
      <c r="Q73" s="3"/>
      <c r="R73" s="322"/>
      <c r="S73" s="32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row>
    <row r="74" spans="1:50" ht="14" thickBot="1" x14ac:dyDescent="0.2">
      <c r="A74" s="3"/>
      <c r="B74" s="178" t="s">
        <v>512</v>
      </c>
      <c r="C74" s="137"/>
      <c r="D74" s="137"/>
      <c r="E74" s="315">
        <f>'Antenna Gain'!E41</f>
        <v>3</v>
      </c>
      <c r="F74" s="313" t="str">
        <f>'Antenna Gain'!F41</f>
        <v>Canted Turnstyle</v>
      </c>
      <c r="G74" s="185"/>
      <c r="H74" s="137"/>
      <c r="I74" s="137"/>
      <c r="J74" s="137" t="s">
        <v>786</v>
      </c>
      <c r="K74" s="278" t="str">
        <f>'Antenna Gain'!K41</f>
        <v>RHCP</v>
      </c>
      <c r="L74" s="182"/>
      <c r="M74" s="3"/>
      <c r="N74" s="3"/>
      <c r="O74" s="411" t="s">
        <v>1042</v>
      </c>
      <c r="P74" s="3"/>
      <c r="Q74" s="3"/>
      <c r="R74" s="402" t="s">
        <v>869</v>
      </c>
      <c r="S74" s="32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row>
    <row r="75" spans="1:50" ht="14" thickBot="1" x14ac:dyDescent="0.2">
      <c r="A75" s="3"/>
      <c r="B75" s="177"/>
      <c r="C75" s="137"/>
      <c r="D75" s="137"/>
      <c r="E75" s="137"/>
      <c r="F75" s="137" t="s">
        <v>512</v>
      </c>
      <c r="G75" s="137"/>
      <c r="H75" s="137"/>
      <c r="I75" s="137"/>
      <c r="J75" s="137"/>
      <c r="K75" s="137"/>
      <c r="L75" s="182"/>
      <c r="M75" s="3"/>
      <c r="N75" s="3"/>
      <c r="O75" s="412" t="s">
        <v>1043</v>
      </c>
      <c r="P75" s="3"/>
      <c r="Q75" s="3"/>
      <c r="R75" s="233" t="s">
        <v>512</v>
      </c>
      <c r="S75" s="235"/>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row>
    <row r="76" spans="1:50" ht="24.75" customHeight="1" x14ac:dyDescent="0.15">
      <c r="A76" s="3"/>
      <c r="B76" s="133">
        <v>1</v>
      </c>
      <c r="C76" s="134" t="s">
        <v>823</v>
      </c>
      <c r="D76" s="134"/>
      <c r="E76" s="134"/>
      <c r="F76" s="134"/>
      <c r="G76" s="134" t="s">
        <v>785</v>
      </c>
      <c r="H76" s="134">
        <f>'Antenna Gain'!H43</f>
        <v>2.15</v>
      </c>
      <c r="I76" s="134" t="s">
        <v>789</v>
      </c>
      <c r="J76" s="134" t="s">
        <v>787</v>
      </c>
      <c r="K76" s="134">
        <f>'Antenna Gain'!L43</f>
        <v>156.19999999999999</v>
      </c>
      <c r="L76" s="135" t="s">
        <v>729</v>
      </c>
      <c r="M76" s="117"/>
      <c r="N76" s="118"/>
      <c r="O76" s="410" t="s">
        <v>1049</v>
      </c>
      <c r="P76" s="599" t="s">
        <v>359</v>
      </c>
      <c r="Q76" s="600"/>
      <c r="R76" s="320">
        <f>IF(G85&lt;100,-10*LOG10(COS(RADIANS(90-G85))),"No Signal")</f>
        <v>10.597039916698797</v>
      </c>
      <c r="S76" s="321" t="s">
        <v>554</v>
      </c>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row>
    <row r="77" spans="1:50" ht="24.75" customHeight="1" x14ac:dyDescent="0.15">
      <c r="A77" s="3"/>
      <c r="B77" s="136">
        <v>2</v>
      </c>
      <c r="C77" s="137" t="s">
        <v>824</v>
      </c>
      <c r="D77" s="137"/>
      <c r="E77" s="137"/>
      <c r="F77" s="137"/>
      <c r="G77" s="137" t="s">
        <v>785</v>
      </c>
      <c r="H77" s="137">
        <f>'Antenna Gain'!H44</f>
        <v>2.15</v>
      </c>
      <c r="I77" s="137" t="s">
        <v>789</v>
      </c>
      <c r="J77" s="137" t="s">
        <v>787</v>
      </c>
      <c r="K77" s="137">
        <f>'Antenna Gain'!L44</f>
        <v>156.19999999999999</v>
      </c>
      <c r="L77" s="139" t="s">
        <v>729</v>
      </c>
      <c r="M77" s="117"/>
      <c r="N77" s="118"/>
      <c r="O77" s="409" t="s">
        <v>1048</v>
      </c>
      <c r="P77" s="599" t="s">
        <v>360</v>
      </c>
      <c r="Q77" s="600"/>
      <c r="R77" s="316">
        <f>IF(G85&lt;90.001,-10*LOG10(COS(RADIANS(G85))),-10*LOG(-COS(RADIANS(G85))))</f>
        <v>1.6557739825009406E-2</v>
      </c>
      <c r="S77" s="182" t="s">
        <v>554</v>
      </c>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row>
    <row r="78" spans="1:50" ht="24" customHeight="1" x14ac:dyDescent="0.15">
      <c r="A78" s="3"/>
      <c r="B78" s="140">
        <v>3</v>
      </c>
      <c r="C78" s="87" t="s">
        <v>825</v>
      </c>
      <c r="D78" s="87"/>
      <c r="E78" s="87"/>
      <c r="F78" s="87"/>
      <c r="G78" s="87" t="s">
        <v>785</v>
      </c>
      <c r="H78" s="299">
        <f>'Antenna Gain'!H45</f>
        <v>0</v>
      </c>
      <c r="I78" s="87" t="s">
        <v>581</v>
      </c>
      <c r="J78" s="87" t="s">
        <v>787</v>
      </c>
      <c r="K78" s="87">
        <f>'Antenna Gain'!L45</f>
        <v>90</v>
      </c>
      <c r="L78" s="94" t="s">
        <v>729</v>
      </c>
      <c r="M78" s="117"/>
      <c r="N78" s="118"/>
      <c r="O78" s="408" t="s">
        <v>1045</v>
      </c>
      <c r="P78" s="599" t="s">
        <v>361</v>
      </c>
      <c r="Q78" s="600"/>
      <c r="R78" s="414">
        <f>IF(K74=K95, 0.00075*(G85)^2, 0.00075*(180-G85)^2)</f>
        <v>1.8749999999999999E-2</v>
      </c>
      <c r="S78" s="204" t="s">
        <v>554</v>
      </c>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row>
    <row r="79" spans="1:50" ht="24.75" customHeight="1" x14ac:dyDescent="0.15">
      <c r="A79" s="3"/>
      <c r="B79" s="136">
        <v>4</v>
      </c>
      <c r="C79" s="137" t="s">
        <v>826</v>
      </c>
      <c r="D79" s="137"/>
      <c r="E79" s="192" t="s">
        <v>793</v>
      </c>
      <c r="F79" s="137" t="s">
        <v>794</v>
      </c>
      <c r="G79" s="137" t="s">
        <v>785</v>
      </c>
      <c r="H79" s="300">
        <f>'Antenna Gain'!H46</f>
        <v>4</v>
      </c>
      <c r="I79" s="137" t="s">
        <v>581</v>
      </c>
      <c r="J79" s="137" t="s">
        <v>787</v>
      </c>
      <c r="K79" s="137">
        <f>'Antenna Gain'!L46</f>
        <v>150</v>
      </c>
      <c r="L79" s="139" t="s">
        <v>729</v>
      </c>
      <c r="M79" s="117"/>
      <c r="N79" s="118"/>
      <c r="O79" s="409" t="s">
        <v>1047</v>
      </c>
      <c r="P79" s="599" t="s">
        <v>362</v>
      </c>
      <c r="Q79" s="600"/>
      <c r="R79" s="317">
        <f>1.5*((4-10*LOG10(1.256*(1+COS(RADIANS(G85))))))</f>
        <v>1.2111942513925777E-2</v>
      </c>
      <c r="S79" s="235" t="s">
        <v>554</v>
      </c>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row>
    <row r="80" spans="1:50" ht="24.75" customHeight="1" x14ac:dyDescent="0.15">
      <c r="A80" s="3"/>
      <c r="B80" s="140">
        <v>5</v>
      </c>
      <c r="C80" s="87" t="s">
        <v>827</v>
      </c>
      <c r="D80" s="87"/>
      <c r="E80" s="730" t="s">
        <v>864</v>
      </c>
      <c r="F80" s="87"/>
      <c r="G80" s="87" t="s">
        <v>785</v>
      </c>
      <c r="H80" s="731">
        <f>'Antenna Gain'!H47</f>
        <v>6</v>
      </c>
      <c r="I80" s="87" t="s">
        <v>762</v>
      </c>
      <c r="J80" s="87" t="s">
        <v>787</v>
      </c>
      <c r="K80" s="729">
        <f>'Antenna Gain'!L47</f>
        <v>90</v>
      </c>
      <c r="L80" s="94" t="s">
        <v>729</v>
      </c>
      <c r="M80" s="112"/>
      <c r="N80" s="113"/>
      <c r="O80" s="408" t="s">
        <v>1046</v>
      </c>
      <c r="P80" s="599" t="str">
        <f>E80</f>
        <v>Patch (Example)</v>
      </c>
      <c r="Q80" s="600"/>
      <c r="R80" s="382">
        <f>-10*LOG10(3282.81*((SIN(RADIANS(G85*1.7724))^2)/((G85*1.7724)^2)))</f>
        <v>3.4655126310997937E-2</v>
      </c>
      <c r="S80" s="285" t="s">
        <v>554</v>
      </c>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row>
    <row r="81" spans="1:49" ht="24.75" customHeight="1" x14ac:dyDescent="0.15">
      <c r="A81" s="3"/>
      <c r="B81" s="136">
        <v>6</v>
      </c>
      <c r="C81" s="456" t="s">
        <v>819</v>
      </c>
      <c r="D81" s="137"/>
      <c r="E81" s="736" t="s">
        <v>664</v>
      </c>
      <c r="F81" s="137"/>
      <c r="G81" s="137" t="s">
        <v>785</v>
      </c>
      <c r="H81" s="281">
        <f>'Antenna Gain'!H48</f>
        <v>16.62391176905383</v>
      </c>
      <c r="I81" s="137" t="s">
        <v>936</v>
      </c>
      <c r="J81" s="137" t="s">
        <v>787</v>
      </c>
      <c r="K81" s="379">
        <f>'Antenna Gain'!L48</f>
        <v>24.054982817869416</v>
      </c>
      <c r="L81" s="139" t="s">
        <v>729</v>
      </c>
      <c r="M81" s="117"/>
      <c r="N81" s="117"/>
      <c r="O81" s="740" t="s">
        <v>663</v>
      </c>
      <c r="P81" s="741" t="s">
        <v>667</v>
      </c>
      <c r="Q81" s="600"/>
      <c r="R81" s="379">
        <f>-10*LOG10(3282.1*((SIN(RADIANS(U81))^2/(U81^2))))</f>
        <v>0.49128193908318624</v>
      </c>
      <c r="S81" s="735" t="s">
        <v>554</v>
      </c>
      <c r="T81" s="3"/>
      <c r="U81" s="738">
        <f>2*(G85*(79.76/K81))</f>
        <v>33.15737142857143</v>
      </c>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row>
    <row r="82" spans="1:49" ht="24.75" customHeight="1" thickBot="1" x14ac:dyDescent="0.2">
      <c r="A82" s="3" t="s">
        <v>512</v>
      </c>
      <c r="B82" s="198">
        <v>7</v>
      </c>
      <c r="C82" s="302" t="s">
        <v>827</v>
      </c>
      <c r="D82" s="196"/>
      <c r="E82" s="737" t="s">
        <v>665</v>
      </c>
      <c r="F82" s="196"/>
      <c r="G82" s="196" t="s">
        <v>785</v>
      </c>
      <c r="H82" s="301">
        <f>'Antenna Gain'!H49</f>
        <v>0</v>
      </c>
      <c r="I82" s="196" t="s">
        <v>762</v>
      </c>
      <c r="J82" s="196" t="s">
        <v>787</v>
      </c>
      <c r="K82" s="302">
        <f>'Antenna Gain'!L49</f>
        <v>360</v>
      </c>
      <c r="L82" s="197" t="s">
        <v>729</v>
      </c>
      <c r="M82" s="117"/>
      <c r="N82" s="117"/>
      <c r="O82" s="739" t="s">
        <v>937</v>
      </c>
      <c r="P82" s="741" t="s">
        <v>668</v>
      </c>
      <c r="Q82" s="600"/>
      <c r="R82" s="382">
        <v>0</v>
      </c>
      <c r="S82" s="285" t="s">
        <v>554</v>
      </c>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row>
    <row r="83" spans="1:49" x14ac:dyDescent="0.15">
      <c r="A83" s="3"/>
      <c r="B83" s="304"/>
      <c r="C83" s="305"/>
      <c r="D83" s="305"/>
      <c r="E83" s="305"/>
      <c r="F83" s="305"/>
      <c r="G83" s="305"/>
      <c r="H83" s="305"/>
      <c r="I83" s="305"/>
      <c r="J83" s="305"/>
      <c r="K83" s="305"/>
      <c r="L83" s="306"/>
      <c r="M83" s="3"/>
      <c r="N83" s="3"/>
      <c r="O83" s="3"/>
      <c r="P83" s="3"/>
      <c r="Q83" s="3"/>
      <c r="R83" s="78"/>
      <c r="S83" s="80"/>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row>
    <row r="84" spans="1:49" x14ac:dyDescent="0.15">
      <c r="A84" s="3"/>
      <c r="B84" s="307"/>
      <c r="C84" s="294" t="s">
        <v>195</v>
      </c>
      <c r="D84" s="294"/>
      <c r="E84" s="294"/>
      <c r="F84" s="294"/>
      <c r="G84" s="295"/>
      <c r="H84" s="295"/>
      <c r="I84" s="308" t="s">
        <v>866</v>
      </c>
      <c r="J84" s="308"/>
      <c r="K84" s="295"/>
      <c r="L84" s="309"/>
      <c r="M84" s="3"/>
      <c r="N84" s="3"/>
      <c r="O84" s="3"/>
      <c r="P84" s="3"/>
      <c r="Q84" s="3"/>
      <c r="R84" s="81"/>
      <c r="S84" s="8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49" x14ac:dyDescent="0.15">
      <c r="A85" s="3"/>
      <c r="B85" s="307"/>
      <c r="C85" s="294" t="s">
        <v>1068</v>
      </c>
      <c r="D85" s="294"/>
      <c r="E85" s="294"/>
      <c r="F85" s="294"/>
      <c r="G85" s="904">
        <v>5</v>
      </c>
      <c r="H85" s="285" t="s">
        <v>729</v>
      </c>
      <c r="I85" s="308" t="s">
        <v>867</v>
      </c>
      <c r="J85" s="308"/>
      <c r="K85" s="283">
        <f>INDEX(R76:R82,E74, 1)</f>
        <v>1.8749999999999999E-2</v>
      </c>
      <c r="L85" s="303" t="s">
        <v>554</v>
      </c>
      <c r="M85" s="3"/>
      <c r="N85" s="3"/>
      <c r="O85" s="3"/>
      <c r="P85" s="3" t="s">
        <v>512</v>
      </c>
      <c r="Q85" s="3"/>
      <c r="R85" s="81"/>
      <c r="S85" s="8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49" ht="14" thickBot="1" x14ac:dyDescent="0.2">
      <c r="A86" s="3"/>
      <c r="B86" s="310"/>
      <c r="C86" s="311"/>
      <c r="D86" s="311"/>
      <c r="E86" s="311"/>
      <c r="F86" s="311"/>
      <c r="G86" s="314"/>
      <c r="H86" s="311"/>
      <c r="I86" s="311"/>
      <c r="J86" s="311"/>
      <c r="K86" s="311"/>
      <c r="L86" s="312"/>
      <c r="M86" s="3"/>
      <c r="N86" s="3" t="s">
        <v>512</v>
      </c>
      <c r="O86" s="3"/>
      <c r="P86" s="3"/>
      <c r="Q86" s="3"/>
      <c r="R86" s="81"/>
      <c r="S86" s="8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49" x14ac:dyDescent="0.15">
      <c r="A87" s="3"/>
      <c r="B87" s="3"/>
      <c r="C87" s="3"/>
      <c r="D87" s="3"/>
      <c r="E87" s="3"/>
      <c r="F87" s="3"/>
      <c r="G87" s="3"/>
      <c r="H87" s="3"/>
      <c r="I87" s="3"/>
      <c r="J87" s="3"/>
      <c r="K87" s="3"/>
      <c r="L87" s="3"/>
      <c r="M87" s="3"/>
      <c r="N87" s="3"/>
      <c r="O87" s="3"/>
      <c r="P87" s="3"/>
      <c r="Q87" s="3"/>
      <c r="R87" s="81"/>
      <c r="S87" s="8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49" x14ac:dyDescent="0.15">
      <c r="A88" s="3"/>
      <c r="B88" s="3"/>
      <c r="C88" s="3"/>
      <c r="D88" s="3"/>
      <c r="E88" s="3"/>
      <c r="F88" s="3"/>
      <c r="G88" s="3"/>
      <c r="H88" s="3"/>
      <c r="I88" s="3"/>
      <c r="J88" s="3"/>
      <c r="K88" s="3"/>
      <c r="L88" s="3"/>
      <c r="M88" s="3"/>
      <c r="N88" s="3"/>
      <c r="O88" s="3"/>
      <c r="P88" s="3"/>
      <c r="Q88" s="3"/>
      <c r="R88" s="81"/>
      <c r="S88" s="8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49" x14ac:dyDescent="0.15">
      <c r="A89" s="3"/>
      <c r="B89" s="3" t="s">
        <v>512</v>
      </c>
      <c r="C89" s="3"/>
      <c r="D89" s="3"/>
      <c r="E89" s="3"/>
      <c r="F89" s="3"/>
      <c r="G89" s="3"/>
      <c r="H89" s="3"/>
      <c r="I89" s="3"/>
      <c r="J89" s="3"/>
      <c r="K89" s="3"/>
      <c r="L89" s="3"/>
      <c r="M89" s="3"/>
      <c r="N89" s="3"/>
      <c r="O89" s="3"/>
      <c r="P89" s="3"/>
      <c r="Q89" s="3"/>
      <c r="R89" s="81"/>
      <c r="S89" s="8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49" ht="14" thickBot="1" x14ac:dyDescent="0.2">
      <c r="A90" s="3"/>
      <c r="B90" s="3"/>
      <c r="C90" s="3"/>
      <c r="D90" s="3"/>
      <c r="E90" s="3"/>
      <c r="F90" s="3"/>
      <c r="G90" s="3"/>
      <c r="H90" s="3"/>
      <c r="I90" s="3"/>
      <c r="J90" s="3"/>
      <c r="K90" s="3"/>
      <c r="L90" s="3"/>
      <c r="M90" s="3"/>
      <c r="N90" s="3"/>
      <c r="O90" s="3"/>
      <c r="P90" s="3"/>
      <c r="Q90" s="3"/>
      <c r="R90" s="81"/>
      <c r="S90" s="8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49" ht="14" thickBot="1" x14ac:dyDescent="0.2">
      <c r="A91" s="3"/>
      <c r="B91" s="187" t="s">
        <v>822</v>
      </c>
      <c r="C91" s="194"/>
      <c r="D91" s="180"/>
      <c r="E91" s="180"/>
      <c r="F91" s="180"/>
      <c r="G91" s="180" t="s">
        <v>512</v>
      </c>
      <c r="H91" s="180"/>
      <c r="I91" s="180"/>
      <c r="J91" s="180" t="s">
        <v>512</v>
      </c>
      <c r="K91" s="180"/>
      <c r="L91" s="181"/>
      <c r="M91" s="3"/>
      <c r="N91" s="3"/>
      <c r="O91" s="3"/>
      <c r="P91" s="3"/>
      <c r="Q91" s="3"/>
      <c r="R91" s="404"/>
      <c r="S91" s="8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49" x14ac:dyDescent="0.15">
      <c r="A92" s="3"/>
      <c r="B92" s="178" t="s">
        <v>512</v>
      </c>
      <c r="C92" s="211"/>
      <c r="D92" s="213" t="s">
        <v>739</v>
      </c>
      <c r="E92" s="212" t="s">
        <v>550</v>
      </c>
      <c r="F92" s="241">
        <f>'Antenna Gain'!F55</f>
        <v>436.5</v>
      </c>
      <c r="G92" s="137" t="s">
        <v>551</v>
      </c>
      <c r="H92" s="137"/>
      <c r="I92" s="137"/>
      <c r="J92" s="137" t="s">
        <v>814</v>
      </c>
      <c r="K92" s="242">
        <f>'Antenna Gain'!K55</f>
        <v>0.6868270332187858</v>
      </c>
      <c r="L92" s="182" t="s">
        <v>552</v>
      </c>
      <c r="M92" s="3"/>
      <c r="N92" s="3"/>
      <c r="O92" s="3"/>
      <c r="P92" s="3"/>
      <c r="Q92" s="3"/>
      <c r="R92" s="81"/>
      <c r="S92" s="8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49" x14ac:dyDescent="0.15">
      <c r="A93" s="3"/>
      <c r="B93" s="177"/>
      <c r="C93" s="137"/>
      <c r="D93" s="137"/>
      <c r="E93" s="137"/>
      <c r="F93" s="137"/>
      <c r="G93" s="137"/>
      <c r="H93" s="137"/>
      <c r="I93" s="137"/>
      <c r="J93" s="137"/>
      <c r="K93" s="137"/>
      <c r="L93" s="182"/>
      <c r="M93" s="3"/>
      <c r="N93" s="3"/>
      <c r="O93" s="3"/>
      <c r="P93" s="3"/>
      <c r="Q93" s="3"/>
      <c r="R93" s="81"/>
      <c r="S93" s="8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49" ht="14" thickBot="1" x14ac:dyDescent="0.2">
      <c r="A94" s="3"/>
      <c r="B94" s="177"/>
      <c r="C94" s="137"/>
      <c r="D94" s="137"/>
      <c r="E94" s="137"/>
      <c r="F94" s="200" t="s">
        <v>1033</v>
      </c>
      <c r="G94" s="137"/>
      <c r="H94" s="137"/>
      <c r="I94" s="137"/>
      <c r="J94" s="137"/>
      <c r="K94" s="137"/>
      <c r="L94" s="182"/>
      <c r="M94" s="3"/>
      <c r="N94" s="3"/>
      <c r="O94" s="3"/>
      <c r="P94" s="3"/>
      <c r="Q94" s="3"/>
      <c r="R94" s="81"/>
      <c r="S94" s="8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49" ht="14" thickBot="1" x14ac:dyDescent="0.2">
      <c r="A95" s="3"/>
      <c r="B95" s="178" t="s">
        <v>512</v>
      </c>
      <c r="C95" s="137"/>
      <c r="D95" s="137"/>
      <c r="E95" s="277">
        <f>'Antenna Gain'!E58</f>
        <v>1</v>
      </c>
      <c r="F95" s="184" t="str">
        <f>'Antenna Gain'!F58</f>
        <v>Yagi</v>
      </c>
      <c r="G95" s="185"/>
      <c r="H95" s="137"/>
      <c r="I95" s="137"/>
      <c r="J95" s="137" t="s">
        <v>786</v>
      </c>
      <c r="K95" s="278" t="str">
        <f>'Antenna Gain'!K58</f>
        <v>RHCP</v>
      </c>
      <c r="L95" s="182"/>
      <c r="M95" s="3"/>
      <c r="N95" s="3"/>
      <c r="O95" s="3"/>
      <c r="P95" s="3"/>
      <c r="Q95" s="3"/>
      <c r="R95" s="81"/>
      <c r="S95" s="8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49" ht="14" thickBot="1" x14ac:dyDescent="0.2">
      <c r="A96" s="3"/>
      <c r="B96" s="179"/>
      <c r="C96" s="142"/>
      <c r="D96" s="142"/>
      <c r="E96" s="142"/>
      <c r="F96" s="142"/>
      <c r="G96" s="142"/>
      <c r="H96" s="142"/>
      <c r="I96" s="142"/>
      <c r="J96" s="142"/>
      <c r="K96" s="142"/>
      <c r="L96" s="183"/>
      <c r="M96" s="3"/>
      <c r="N96" s="3"/>
      <c r="O96" s="3"/>
      <c r="P96" s="3"/>
      <c r="Q96" s="3"/>
      <c r="R96" s="84"/>
      <c r="S96" s="86"/>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36" customHeight="1" x14ac:dyDescent="0.15">
      <c r="A97" s="3"/>
      <c r="B97" s="267">
        <v>1</v>
      </c>
      <c r="C97" s="150" t="s">
        <v>804</v>
      </c>
      <c r="D97" s="263"/>
      <c r="E97" s="150"/>
      <c r="F97" s="266" t="s">
        <v>802</v>
      </c>
      <c r="G97" s="275">
        <f>'Antenna Gain'!N72</f>
        <v>0</v>
      </c>
      <c r="H97" s="150" t="s">
        <v>581</v>
      </c>
      <c r="I97" s="263" t="s">
        <v>787</v>
      </c>
      <c r="J97" s="271">
        <f>'Antenna Gain'!Q60</f>
        <v>23.363074597226493</v>
      </c>
      <c r="K97" s="150" t="s">
        <v>729</v>
      </c>
      <c r="L97" s="155"/>
      <c r="M97" s="3"/>
      <c r="N97" s="3"/>
      <c r="O97" s="3"/>
      <c r="P97" s="3"/>
      <c r="Q97" s="3"/>
      <c r="R97" s="406">
        <f>2*(F102*(79.76/INDEX(J97:J100,E95,1)))</f>
        <v>34.139342263397374</v>
      </c>
      <c r="S97" s="264"/>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36" customHeight="1" x14ac:dyDescent="0.15">
      <c r="A98" s="3"/>
      <c r="B98" s="268">
        <v>2</v>
      </c>
      <c r="C98" s="157" t="s">
        <v>818</v>
      </c>
      <c r="D98" s="264"/>
      <c r="E98" s="157"/>
      <c r="F98" s="264" t="s">
        <v>785</v>
      </c>
      <c r="G98" s="274">
        <f>'Antenna Gain'!N73</f>
        <v>0</v>
      </c>
      <c r="H98" s="157" t="s">
        <v>581</v>
      </c>
      <c r="I98" s="264" t="s">
        <v>787</v>
      </c>
      <c r="J98" s="273">
        <f>'Antenna Gain'!Q61</f>
        <v>32.218539472084792</v>
      </c>
      <c r="K98" s="157" t="s">
        <v>729</v>
      </c>
      <c r="L98" s="16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36" customHeight="1" x14ac:dyDescent="0.15">
      <c r="A99" s="3"/>
      <c r="B99" s="269">
        <v>3</v>
      </c>
      <c r="C99" s="165" t="s">
        <v>819</v>
      </c>
      <c r="D99" s="265"/>
      <c r="E99" s="165"/>
      <c r="F99" s="265" t="s">
        <v>785</v>
      </c>
      <c r="G99" s="276">
        <f>'Antenna Gain'!N74</f>
        <v>0</v>
      </c>
      <c r="H99" s="165" t="s">
        <v>581</v>
      </c>
      <c r="I99" s="265" t="s">
        <v>787</v>
      </c>
      <c r="J99" s="272">
        <f>'Antenna Gain'!Q62</f>
        <v>24.054982817869416</v>
      </c>
      <c r="K99" s="165" t="s">
        <v>729</v>
      </c>
      <c r="L99" s="169"/>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36" customHeight="1" x14ac:dyDescent="0.15">
      <c r="A100" s="3"/>
      <c r="B100" s="279">
        <v>4</v>
      </c>
      <c r="C100" s="137" t="s">
        <v>820</v>
      </c>
      <c r="D100" s="181"/>
      <c r="E100" s="137"/>
      <c r="F100" s="182" t="s">
        <v>785</v>
      </c>
      <c r="G100" s="280">
        <v>18.5</v>
      </c>
      <c r="H100" s="137" t="s">
        <v>581</v>
      </c>
      <c r="I100" s="182" t="s">
        <v>787</v>
      </c>
      <c r="J100" s="281">
        <f>'Antenna Gain'!Q63</f>
        <v>24</v>
      </c>
      <c r="K100" s="137" t="s">
        <v>729</v>
      </c>
      <c r="L100" s="282"/>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x14ac:dyDescent="0.15">
      <c r="A101" s="3"/>
      <c r="B101" s="290"/>
      <c r="C101" s="291"/>
      <c r="D101" s="291"/>
      <c r="E101" s="291"/>
      <c r="F101" s="291"/>
      <c r="G101" s="291"/>
      <c r="H101" s="291"/>
      <c r="I101" s="291"/>
      <c r="J101" s="291"/>
      <c r="K101" s="291"/>
      <c r="L101" s="292"/>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x14ac:dyDescent="0.15">
      <c r="A102" s="3"/>
      <c r="B102" s="293" t="s">
        <v>512</v>
      </c>
      <c r="C102" s="294" t="s">
        <v>1031</v>
      </c>
      <c r="D102" s="295"/>
      <c r="E102" s="295"/>
      <c r="F102" s="284">
        <v>5</v>
      </c>
      <c r="G102" s="285" t="s">
        <v>863</v>
      </c>
      <c r="H102" s="294" t="s">
        <v>861</v>
      </c>
      <c r="I102" s="295"/>
      <c r="J102" s="295"/>
      <c r="K102" s="283">
        <f>-10*LOG10(3282.81*((SIN(RADIANS(R97))^2/(R97^2))))</f>
        <v>0.52017693756532157</v>
      </c>
      <c r="L102" s="185" t="s">
        <v>554</v>
      </c>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x14ac:dyDescent="0.15">
      <c r="A103" s="3"/>
      <c r="B103" s="296"/>
      <c r="C103" s="297"/>
      <c r="D103" s="297"/>
      <c r="E103" s="297"/>
      <c r="F103" s="297"/>
      <c r="G103" s="297"/>
      <c r="H103" s="297"/>
      <c r="I103" s="297"/>
      <c r="J103" s="297"/>
      <c r="K103" s="297"/>
      <c r="L103" s="298"/>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3"/>
  </sheetPr>
  <dimension ref="A1:V115"/>
  <sheetViews>
    <sheetView zoomScaleNormal="100" workbookViewId="0">
      <selection activeCell="F40" sqref="F40"/>
    </sheetView>
  </sheetViews>
  <sheetFormatPr baseColWidth="10" defaultColWidth="10.6640625" defaultRowHeight="13" x14ac:dyDescent="0.15"/>
  <cols>
    <col min="1" max="5" width="8.83203125" customWidth="1"/>
    <col min="6" max="6" width="19.6640625" bestFit="1" customWidth="1"/>
    <col min="7" max="7" width="9.33203125" customWidth="1"/>
    <col min="8" max="9" width="8.83203125" customWidth="1"/>
    <col min="10" max="10" width="9.83203125" customWidth="1"/>
    <col min="11" max="14" width="8.83203125" customWidth="1"/>
    <col min="15" max="15" width="11.33203125" customWidth="1"/>
    <col min="16" max="256" width="8.83203125" customWidth="1"/>
  </cols>
  <sheetData>
    <row r="1" spans="1:22" ht="19" thickBot="1" x14ac:dyDescent="0.25">
      <c r="A1" s="119" t="s">
        <v>1024</v>
      </c>
      <c r="B1" s="119"/>
      <c r="C1" s="120"/>
      <c r="D1" s="120"/>
      <c r="E1" s="120"/>
      <c r="F1" s="120"/>
      <c r="G1" s="120"/>
      <c r="H1" s="121"/>
      <c r="I1" s="121"/>
      <c r="J1" s="675" t="str">
        <f>'Title Page'!F3</f>
        <v>3UCubed</v>
      </c>
      <c r="K1" s="121"/>
      <c r="L1" s="121"/>
      <c r="M1" s="121"/>
      <c r="N1" s="905">
        <f ca="1">'Title Page'!F23</f>
        <v>45769</v>
      </c>
      <c r="O1" s="121"/>
      <c r="P1" s="121"/>
      <c r="Q1" s="121"/>
      <c r="R1" s="121"/>
      <c r="S1" s="121"/>
      <c r="T1" s="121"/>
      <c r="U1" s="121"/>
      <c r="V1" s="121"/>
    </row>
    <row r="2" spans="1:22" x14ac:dyDescent="0.15">
      <c r="A2" s="3"/>
      <c r="B2" s="3"/>
      <c r="C2" s="3"/>
      <c r="D2" s="3"/>
      <c r="E2" s="3"/>
      <c r="F2" s="3"/>
      <c r="G2" s="3"/>
      <c r="H2" s="3"/>
      <c r="I2" s="3"/>
      <c r="J2" s="3"/>
      <c r="K2" s="3"/>
      <c r="L2" s="3"/>
      <c r="M2" s="3"/>
      <c r="N2" s="3"/>
      <c r="O2" s="3"/>
      <c r="P2" s="3"/>
      <c r="Q2" s="3"/>
      <c r="R2" s="3"/>
      <c r="S2" s="3"/>
      <c r="T2" s="3"/>
      <c r="U2" s="3"/>
      <c r="V2" s="3"/>
    </row>
    <row r="3" spans="1:22" x14ac:dyDescent="0.15">
      <c r="A3" s="3"/>
      <c r="B3" s="3"/>
      <c r="C3" s="3"/>
      <c r="D3" s="3"/>
      <c r="E3" s="115" t="s">
        <v>682</v>
      </c>
      <c r="F3" s="3"/>
      <c r="G3" s="3"/>
      <c r="H3" s="3"/>
      <c r="I3" s="3"/>
      <c r="J3" s="3"/>
      <c r="K3" s="3"/>
      <c r="L3" s="527" t="s">
        <v>512</v>
      </c>
      <c r="M3" s="3"/>
      <c r="N3" s="3"/>
      <c r="O3" s="3"/>
      <c r="P3" s="3"/>
      <c r="Q3" s="3"/>
      <c r="R3" s="3"/>
      <c r="S3" s="3"/>
      <c r="T3" s="3"/>
      <c r="U3" s="3"/>
      <c r="V3" s="3"/>
    </row>
    <row r="4" spans="1:22" x14ac:dyDescent="0.15">
      <c r="A4" s="3"/>
      <c r="B4" s="90" t="s">
        <v>684</v>
      </c>
      <c r="C4" s="3"/>
      <c r="D4" s="3"/>
      <c r="E4" s="3"/>
      <c r="F4" s="3"/>
      <c r="G4" s="3"/>
      <c r="H4" s="3"/>
      <c r="I4" s="3"/>
      <c r="J4" s="3"/>
      <c r="K4" s="3"/>
      <c r="L4" s="3"/>
      <c r="M4" s="3"/>
      <c r="N4" s="3"/>
      <c r="O4" s="3"/>
      <c r="P4" s="3"/>
      <c r="Q4" s="3"/>
      <c r="R4" s="3"/>
      <c r="S4" s="3"/>
      <c r="T4" s="3"/>
      <c r="U4" s="3"/>
      <c r="V4" s="3"/>
    </row>
    <row r="5" spans="1:22" x14ac:dyDescent="0.15">
      <c r="A5" s="3"/>
      <c r="B5" s="3"/>
      <c r="C5" s="3"/>
      <c r="D5" s="3"/>
      <c r="E5" s="115" t="s">
        <v>683</v>
      </c>
      <c r="F5" s="3"/>
      <c r="G5" s="3"/>
      <c r="H5" s="3"/>
      <c r="I5" s="3"/>
      <c r="J5" s="3"/>
      <c r="K5" s="4" t="s">
        <v>681</v>
      </c>
      <c r="L5" s="3"/>
      <c r="M5" s="3"/>
      <c r="N5" s="4" t="s">
        <v>671</v>
      </c>
      <c r="O5" s="3"/>
      <c r="P5" s="3"/>
      <c r="Q5" s="4" t="s">
        <v>672</v>
      </c>
      <c r="R5" s="3"/>
      <c r="S5" s="3"/>
      <c r="T5" s="3"/>
      <c r="U5" s="3"/>
      <c r="V5" s="3"/>
    </row>
    <row r="6" spans="1:22" x14ac:dyDescent="0.15">
      <c r="A6" s="3"/>
      <c r="B6" s="351">
        <v>3</v>
      </c>
      <c r="C6" s="3"/>
      <c r="D6" s="3"/>
      <c r="E6" s="3"/>
      <c r="F6" s="3"/>
      <c r="G6" s="3"/>
      <c r="H6" s="3"/>
      <c r="I6" s="3"/>
      <c r="J6" s="3"/>
      <c r="K6" s="3" t="s">
        <v>699</v>
      </c>
      <c r="L6" s="3"/>
      <c r="M6" s="3"/>
      <c r="N6" s="3" t="s">
        <v>699</v>
      </c>
      <c r="O6" s="3"/>
      <c r="P6" s="3"/>
      <c r="Q6" s="3" t="s">
        <v>700</v>
      </c>
      <c r="R6" s="3"/>
      <c r="S6" s="3"/>
      <c r="T6" s="3"/>
      <c r="U6" s="3"/>
      <c r="V6" s="3"/>
    </row>
    <row r="7" spans="1:22" x14ac:dyDescent="0.15">
      <c r="A7" s="3"/>
      <c r="B7" s="3"/>
      <c r="C7" s="3"/>
      <c r="D7" s="3"/>
      <c r="E7" s="3"/>
      <c r="F7" s="3"/>
      <c r="G7" s="3"/>
      <c r="H7" s="3"/>
      <c r="I7" s="3"/>
      <c r="J7" s="3"/>
      <c r="K7" s="3"/>
      <c r="L7" s="3"/>
      <c r="M7" s="3"/>
      <c r="N7" s="3" t="s">
        <v>512</v>
      </c>
      <c r="O7" s="3"/>
      <c r="P7" s="3"/>
      <c r="Q7" s="3"/>
      <c r="R7" s="3"/>
      <c r="S7" s="3"/>
      <c r="T7" s="3"/>
      <c r="U7" s="3"/>
      <c r="V7" s="3"/>
    </row>
    <row r="8" spans="1:22" x14ac:dyDescent="0.15">
      <c r="A8" s="3"/>
      <c r="B8" s="3"/>
      <c r="C8" s="3"/>
      <c r="D8" s="3"/>
      <c r="E8" s="3"/>
      <c r="F8" s="3"/>
      <c r="G8" s="3"/>
      <c r="H8" s="3"/>
      <c r="I8" s="3"/>
      <c r="J8" s="3"/>
      <c r="K8" s="3"/>
      <c r="L8" s="3"/>
      <c r="M8" s="3"/>
      <c r="N8" s="3"/>
      <c r="O8" s="3"/>
      <c r="P8" s="3"/>
      <c r="Q8" s="3"/>
      <c r="R8" s="3"/>
      <c r="S8" s="3"/>
      <c r="T8" s="3"/>
      <c r="U8" s="3"/>
      <c r="V8" s="3"/>
    </row>
    <row r="9" spans="1:22" ht="12.75" customHeight="1" x14ac:dyDescent="0.15">
      <c r="A9" s="3"/>
      <c r="B9" s="3"/>
      <c r="C9" s="3"/>
      <c r="D9" s="3"/>
      <c r="E9" s="3"/>
      <c r="F9" s="3"/>
      <c r="G9" s="3"/>
      <c r="H9" s="3"/>
      <c r="I9" s="3"/>
      <c r="J9" s="3"/>
      <c r="K9" s="3"/>
      <c r="L9" s="3"/>
      <c r="M9" s="3"/>
      <c r="N9" s="3"/>
      <c r="O9" s="3"/>
      <c r="P9" s="3"/>
      <c r="Q9" s="3"/>
      <c r="R9" s="3"/>
      <c r="S9" s="3"/>
      <c r="T9" s="3"/>
      <c r="U9" s="3"/>
      <c r="V9" s="3"/>
    </row>
    <row r="10" spans="1:22" ht="12.75" customHeight="1" x14ac:dyDescent="0.2">
      <c r="A10" s="3"/>
      <c r="B10" s="3"/>
      <c r="C10" s="3"/>
      <c r="D10" s="3"/>
      <c r="E10" s="3"/>
      <c r="F10" s="3"/>
      <c r="G10" s="3"/>
      <c r="H10" s="3"/>
      <c r="I10" s="3"/>
      <c r="J10" s="3"/>
      <c r="K10" s="3"/>
      <c r="L10" s="3"/>
      <c r="M10" s="3"/>
      <c r="N10" s="3"/>
      <c r="O10" s="3"/>
      <c r="P10" s="3"/>
      <c r="Q10" s="3" t="s">
        <v>679</v>
      </c>
      <c r="R10" s="3"/>
      <c r="S10" s="3"/>
      <c r="T10" s="3"/>
      <c r="U10" s="3"/>
      <c r="V10" s="3"/>
    </row>
    <row r="11" spans="1:22" x14ac:dyDescent="0.15">
      <c r="A11" s="3"/>
      <c r="B11" s="3"/>
      <c r="C11" s="3"/>
      <c r="D11" s="3"/>
      <c r="E11" s="3"/>
      <c r="F11" s="3"/>
      <c r="G11" s="3"/>
      <c r="H11" s="4" t="s">
        <v>673</v>
      </c>
      <c r="I11" s="3"/>
      <c r="J11" s="3"/>
      <c r="K11" s="3"/>
      <c r="L11" s="3"/>
      <c r="M11" s="3"/>
      <c r="N11" s="3"/>
      <c r="O11" s="3"/>
      <c r="P11" s="3"/>
      <c r="Q11" s="3"/>
      <c r="R11" s="3"/>
      <c r="S11" s="3"/>
      <c r="T11" s="3"/>
      <c r="U11" s="3"/>
      <c r="V11" s="3"/>
    </row>
    <row r="12" spans="1:22" x14ac:dyDescent="0.15">
      <c r="A12" s="3"/>
      <c r="B12" s="3"/>
      <c r="C12" s="3"/>
      <c r="D12" s="3"/>
      <c r="E12" s="3"/>
      <c r="F12" s="3"/>
      <c r="G12" s="3"/>
      <c r="H12" s="3"/>
      <c r="I12" s="3"/>
      <c r="J12" s="3"/>
      <c r="K12" s="3"/>
      <c r="L12" s="3"/>
      <c r="M12" s="3"/>
      <c r="N12" s="3"/>
      <c r="O12" s="3"/>
      <c r="P12" s="3"/>
      <c r="Q12" s="3"/>
      <c r="R12" s="3"/>
      <c r="S12" s="3"/>
      <c r="T12" s="3"/>
      <c r="U12" s="3"/>
      <c r="V12" s="3"/>
    </row>
    <row r="13" spans="1:22" x14ac:dyDescent="0.15">
      <c r="A13" s="3"/>
      <c r="B13" s="3"/>
      <c r="C13" s="3"/>
      <c r="D13" s="3"/>
      <c r="E13" s="3"/>
      <c r="F13" s="3"/>
      <c r="G13" s="3"/>
      <c r="H13" s="3"/>
      <c r="I13" s="3"/>
      <c r="J13" s="3"/>
      <c r="K13" s="3"/>
      <c r="L13" s="3"/>
      <c r="M13" s="3"/>
      <c r="N13" s="3"/>
      <c r="O13" s="3"/>
      <c r="P13" s="3"/>
      <c r="Q13" s="3"/>
      <c r="R13" s="3"/>
      <c r="S13" s="3"/>
      <c r="T13" s="3"/>
      <c r="U13" s="3"/>
      <c r="V13" s="3"/>
    </row>
    <row r="14" spans="1:22" x14ac:dyDescent="0.15">
      <c r="A14" s="3"/>
      <c r="B14" s="3"/>
      <c r="C14" s="3"/>
      <c r="D14" s="3"/>
      <c r="E14" s="3"/>
      <c r="F14" s="3"/>
      <c r="G14" s="3"/>
      <c r="H14" s="3"/>
      <c r="I14" s="3"/>
      <c r="J14" s="3"/>
      <c r="K14" s="3"/>
      <c r="L14" s="3"/>
      <c r="M14" s="3"/>
      <c r="N14" s="3"/>
      <c r="O14" s="3"/>
      <c r="P14" s="3"/>
      <c r="Q14" s="3"/>
      <c r="R14" s="3"/>
      <c r="S14" s="3"/>
      <c r="T14" s="3"/>
      <c r="U14" s="3"/>
      <c r="V14" s="3"/>
    </row>
    <row r="15" spans="1:22" x14ac:dyDescent="0.15">
      <c r="A15" s="3"/>
      <c r="B15" s="3"/>
      <c r="C15" s="3"/>
      <c r="D15" s="3"/>
      <c r="E15" s="3"/>
      <c r="F15" s="3"/>
      <c r="G15" s="3"/>
      <c r="H15" s="3"/>
      <c r="I15" s="3"/>
      <c r="J15" s="3"/>
      <c r="K15" s="3"/>
      <c r="L15" s="3"/>
      <c r="M15" s="3"/>
      <c r="N15" s="3"/>
      <c r="O15" s="3"/>
      <c r="P15" s="3"/>
      <c r="Q15" s="3"/>
      <c r="R15" s="3"/>
      <c r="S15" s="3"/>
      <c r="T15" s="3"/>
      <c r="U15" s="3"/>
      <c r="V15" s="3"/>
    </row>
    <row r="16" spans="1:22" x14ac:dyDescent="0.15">
      <c r="A16" s="3"/>
      <c r="B16" s="3"/>
      <c r="C16" s="3"/>
      <c r="D16" s="3"/>
      <c r="E16" s="3"/>
      <c r="F16" s="3"/>
      <c r="G16" s="3"/>
      <c r="H16" s="3"/>
      <c r="I16" s="3"/>
      <c r="J16" s="3"/>
      <c r="K16" s="3"/>
      <c r="L16" s="3"/>
      <c r="M16" s="3"/>
      <c r="N16" s="3"/>
      <c r="O16" s="3"/>
      <c r="P16" s="3"/>
      <c r="Q16" s="3"/>
      <c r="R16" s="3"/>
      <c r="S16" s="3"/>
      <c r="T16" s="3"/>
      <c r="U16" s="3"/>
      <c r="V16" s="3"/>
    </row>
    <row r="17" spans="1:22" x14ac:dyDescent="0.15">
      <c r="A17" s="3"/>
      <c r="B17" s="3"/>
      <c r="C17" s="3"/>
      <c r="D17" s="3"/>
      <c r="E17" s="3"/>
      <c r="F17" s="3"/>
      <c r="G17" s="3"/>
      <c r="H17" s="3"/>
      <c r="I17" s="3"/>
      <c r="J17" s="3"/>
      <c r="K17" s="3"/>
      <c r="L17" s="3"/>
      <c r="M17" s="3"/>
      <c r="N17" s="3"/>
      <c r="O17" s="3"/>
      <c r="P17" s="3"/>
      <c r="Q17" s="3"/>
      <c r="R17" s="3"/>
      <c r="S17" s="3"/>
      <c r="T17" s="3"/>
      <c r="U17" s="3"/>
      <c r="V17" s="3"/>
    </row>
    <row r="18" spans="1:22" x14ac:dyDescent="0.15">
      <c r="A18" s="3"/>
      <c r="B18" s="3"/>
      <c r="C18" s="3"/>
      <c r="D18" s="3"/>
      <c r="E18" s="3"/>
      <c r="F18" s="3"/>
      <c r="G18" s="3"/>
      <c r="H18" s="3"/>
      <c r="I18" s="3"/>
      <c r="J18" s="3"/>
      <c r="K18" s="3"/>
      <c r="L18" s="3"/>
      <c r="M18" s="3"/>
      <c r="N18" s="3"/>
      <c r="O18" s="3"/>
      <c r="P18" s="3"/>
      <c r="Q18" s="3"/>
      <c r="R18" s="3"/>
      <c r="S18" s="3"/>
      <c r="T18" s="3"/>
      <c r="U18" s="3"/>
      <c r="V18" s="3"/>
    </row>
    <row r="19" spans="1:22" x14ac:dyDescent="0.15">
      <c r="A19" s="3"/>
      <c r="B19" s="3"/>
      <c r="C19" s="3"/>
      <c r="D19" s="3"/>
      <c r="E19" s="3"/>
      <c r="F19" s="3"/>
      <c r="G19" s="3"/>
      <c r="H19" s="3"/>
      <c r="I19" s="3"/>
      <c r="J19" s="3"/>
      <c r="K19" s="3"/>
      <c r="L19" s="3"/>
      <c r="M19" s="3"/>
      <c r="N19" s="3"/>
      <c r="O19" s="3"/>
      <c r="P19" s="3"/>
      <c r="Q19" s="3"/>
      <c r="R19" s="3"/>
      <c r="S19" s="3"/>
      <c r="T19" s="3"/>
      <c r="U19" s="3"/>
      <c r="V19" s="3"/>
    </row>
    <row r="20" spans="1:22" ht="12.75" customHeight="1" x14ac:dyDescent="0.2">
      <c r="A20" s="3"/>
      <c r="B20" s="3"/>
      <c r="C20" s="3"/>
      <c r="D20" s="3"/>
      <c r="E20" s="3"/>
      <c r="F20" s="3"/>
      <c r="G20" s="3"/>
      <c r="H20" s="3"/>
      <c r="I20" s="3"/>
      <c r="J20" s="3"/>
      <c r="K20" s="3"/>
      <c r="L20" s="3"/>
      <c r="M20" s="3"/>
      <c r="N20" s="3"/>
      <c r="O20" s="3"/>
      <c r="P20" s="3"/>
      <c r="Q20" s="3" t="s">
        <v>680</v>
      </c>
      <c r="R20" s="3"/>
      <c r="S20" s="3"/>
      <c r="T20" s="3"/>
      <c r="U20" s="3"/>
      <c r="V20" s="3"/>
    </row>
    <row r="21" spans="1:22" x14ac:dyDescent="0.15">
      <c r="A21" s="3"/>
      <c r="B21" s="3"/>
      <c r="C21" s="3"/>
      <c r="D21" s="3"/>
      <c r="E21" s="3"/>
      <c r="F21" s="3"/>
      <c r="G21" s="3"/>
      <c r="H21" s="4" t="s">
        <v>678</v>
      </c>
      <c r="I21" s="3"/>
      <c r="J21" s="3"/>
      <c r="K21" s="3"/>
      <c r="L21" s="3"/>
      <c r="M21" s="3"/>
      <c r="N21" s="3"/>
      <c r="O21" s="3"/>
      <c r="P21" s="3"/>
      <c r="Q21" s="3"/>
      <c r="R21" s="3"/>
      <c r="S21" s="3"/>
      <c r="T21" s="3"/>
      <c r="U21" s="3"/>
      <c r="V21" s="3"/>
    </row>
    <row r="22" spans="1:22" x14ac:dyDescent="0.15">
      <c r="A22" s="3"/>
      <c r="B22" s="3"/>
      <c r="C22" s="3"/>
      <c r="D22" s="3"/>
      <c r="E22" s="3"/>
      <c r="F22" s="3"/>
      <c r="G22" s="3"/>
      <c r="H22" s="3"/>
      <c r="I22" s="3"/>
      <c r="J22" s="3"/>
      <c r="K22" s="3"/>
      <c r="L22" s="3"/>
      <c r="M22" s="3"/>
      <c r="N22" s="3"/>
      <c r="O22" s="3"/>
      <c r="P22" s="3"/>
      <c r="Q22" s="3"/>
      <c r="R22" s="3"/>
      <c r="S22" s="3"/>
      <c r="T22" s="3"/>
      <c r="U22" s="3"/>
      <c r="V22" s="3"/>
    </row>
    <row r="23" spans="1:22" x14ac:dyDescent="0.15">
      <c r="A23" s="3"/>
      <c r="B23" s="3"/>
      <c r="C23" s="3"/>
      <c r="D23" s="3"/>
      <c r="E23" s="3"/>
      <c r="F23" s="3"/>
      <c r="G23" s="3"/>
      <c r="H23" s="3"/>
      <c r="I23" s="3"/>
      <c r="J23" s="3"/>
      <c r="K23" s="3"/>
      <c r="L23" s="3"/>
      <c r="M23" s="3"/>
      <c r="N23" s="3"/>
      <c r="O23" s="3"/>
      <c r="P23" s="3"/>
      <c r="Q23" s="3"/>
      <c r="R23" s="3"/>
      <c r="S23" s="3"/>
      <c r="T23" s="3"/>
      <c r="U23" s="3"/>
      <c r="V23" s="3"/>
    </row>
    <row r="24" spans="1:22" x14ac:dyDescent="0.15">
      <c r="A24" s="3"/>
      <c r="B24" s="3"/>
      <c r="C24" s="3"/>
      <c r="D24" s="3"/>
      <c r="E24" s="3"/>
      <c r="F24" s="3"/>
      <c r="G24" s="3"/>
      <c r="H24" s="3"/>
      <c r="I24" s="3"/>
      <c r="J24" s="3"/>
      <c r="K24" s="3"/>
      <c r="L24" s="3"/>
      <c r="M24" s="3"/>
      <c r="N24" s="3"/>
      <c r="O24" s="3"/>
      <c r="P24" s="3"/>
      <c r="Q24" s="3"/>
      <c r="R24" s="3"/>
      <c r="S24" s="3"/>
      <c r="T24" s="3"/>
      <c r="U24" s="3"/>
      <c r="V24" s="3"/>
    </row>
    <row r="25" spans="1:22" x14ac:dyDescent="0.15">
      <c r="A25" s="3"/>
      <c r="B25" s="3"/>
      <c r="C25" s="3"/>
      <c r="D25" s="3"/>
      <c r="E25" s="3"/>
      <c r="F25" s="3"/>
      <c r="G25" s="3"/>
      <c r="H25" s="3"/>
      <c r="I25" s="3"/>
      <c r="J25" s="3"/>
      <c r="K25" s="3"/>
      <c r="L25" s="3"/>
      <c r="M25" s="3"/>
      <c r="N25" s="3"/>
      <c r="O25" s="3"/>
      <c r="P25" s="3"/>
      <c r="Q25" s="3"/>
      <c r="R25" s="3"/>
      <c r="S25" s="3"/>
      <c r="T25" s="3"/>
      <c r="U25" s="3"/>
      <c r="V25" s="3"/>
    </row>
    <row r="26" spans="1:22" x14ac:dyDescent="0.15">
      <c r="A26" s="3"/>
      <c r="B26" s="3"/>
      <c r="C26" s="3"/>
      <c r="D26" s="3"/>
      <c r="E26" s="3"/>
      <c r="F26" s="3"/>
      <c r="G26" s="3"/>
      <c r="H26" s="3"/>
      <c r="I26" s="3"/>
      <c r="J26" s="3"/>
      <c r="K26" s="3"/>
      <c r="L26" s="3"/>
      <c r="M26" s="3"/>
      <c r="N26" s="3"/>
      <c r="O26" s="3"/>
      <c r="P26" s="3"/>
      <c r="Q26" s="3"/>
      <c r="R26" s="3"/>
      <c r="S26" s="3"/>
      <c r="T26" s="3"/>
      <c r="U26" s="3"/>
      <c r="V26" s="3"/>
    </row>
    <row r="27" spans="1:22" x14ac:dyDescent="0.15">
      <c r="A27" s="3"/>
      <c r="B27" s="351" t="s">
        <v>868</v>
      </c>
      <c r="C27" s="3"/>
      <c r="D27" s="3"/>
      <c r="E27" s="3"/>
      <c r="F27" s="3"/>
      <c r="G27" s="3"/>
      <c r="H27" s="3"/>
      <c r="I27" s="3"/>
      <c r="J27" s="3"/>
      <c r="K27" s="3"/>
      <c r="L27" s="3"/>
      <c r="M27" s="3"/>
      <c r="N27" s="3"/>
      <c r="O27" s="3"/>
      <c r="P27" s="3"/>
      <c r="Q27" s="3"/>
      <c r="R27" s="3"/>
      <c r="S27" s="3"/>
      <c r="T27" s="3"/>
      <c r="U27" s="3"/>
      <c r="V27" s="3"/>
    </row>
    <row r="28" spans="1:22" ht="14" thickBot="1" x14ac:dyDescent="0.2">
      <c r="A28" s="3"/>
      <c r="B28" s="3"/>
      <c r="C28" s="3"/>
      <c r="D28" s="3"/>
      <c r="E28" s="3"/>
      <c r="F28" s="3"/>
      <c r="G28" s="3"/>
      <c r="H28" s="3"/>
      <c r="I28" s="3"/>
      <c r="J28" s="3"/>
      <c r="K28" s="78"/>
      <c r="L28" s="79"/>
      <c r="M28" s="79"/>
      <c r="N28" s="80"/>
      <c r="O28" s="3"/>
      <c r="P28" s="3"/>
      <c r="Q28" s="3"/>
      <c r="R28" s="3"/>
      <c r="S28" s="3"/>
      <c r="T28" s="3"/>
      <c r="U28" s="3"/>
      <c r="V28" s="3"/>
    </row>
    <row r="29" spans="1:22" ht="14" thickBot="1" x14ac:dyDescent="0.2">
      <c r="A29" s="3"/>
      <c r="B29" s="228" t="s">
        <v>847</v>
      </c>
      <c r="C29" s="231" t="s">
        <v>853</v>
      </c>
      <c r="D29" s="3"/>
      <c r="E29" s="3"/>
      <c r="F29" s="3"/>
      <c r="G29" s="3"/>
      <c r="H29" s="3"/>
      <c r="I29" s="3"/>
      <c r="J29" s="3"/>
      <c r="K29" s="81"/>
      <c r="L29" s="82"/>
      <c r="M29" s="82"/>
      <c r="N29" s="83"/>
      <c r="O29" s="3"/>
      <c r="P29" s="3"/>
      <c r="Q29" s="3"/>
      <c r="R29" s="3"/>
      <c r="S29" s="3"/>
      <c r="T29" s="3"/>
      <c r="U29" s="3"/>
      <c r="V29" s="3"/>
    </row>
    <row r="30" spans="1:22" x14ac:dyDescent="0.15">
      <c r="A30" s="3"/>
      <c r="B30" s="392" t="s">
        <v>512</v>
      </c>
      <c r="C30" s="91" t="s">
        <v>698</v>
      </c>
      <c r="D30" s="91"/>
      <c r="E30" s="77"/>
      <c r="F30" s="77"/>
      <c r="G30" s="92"/>
      <c r="H30" s="3"/>
      <c r="I30" s="3"/>
      <c r="J30" s="3"/>
      <c r="K30" s="81"/>
      <c r="L30" s="82"/>
      <c r="M30" s="82"/>
      <c r="N30" s="83"/>
      <c r="O30" s="3"/>
      <c r="P30" s="3"/>
      <c r="Q30" s="3"/>
      <c r="R30" s="3"/>
      <c r="S30" s="3"/>
      <c r="T30" s="3"/>
      <c r="U30" s="3"/>
      <c r="V30" s="3"/>
    </row>
    <row r="31" spans="1:22" x14ac:dyDescent="0.15">
      <c r="A31" s="3"/>
      <c r="B31" s="93" t="s">
        <v>697</v>
      </c>
      <c r="C31" s="87"/>
      <c r="D31" s="87"/>
      <c r="E31" s="87"/>
      <c r="F31" s="87"/>
      <c r="G31" s="94"/>
      <c r="H31" s="3"/>
      <c r="I31" s="3"/>
      <c r="J31" s="3"/>
      <c r="K31" s="81"/>
      <c r="L31" s="82"/>
      <c r="M31" s="82"/>
      <c r="N31" s="83"/>
      <c r="O31" s="3"/>
      <c r="P31" s="3"/>
      <c r="Q31" s="3"/>
      <c r="R31" s="3"/>
      <c r="S31" s="3"/>
      <c r="T31" s="3"/>
      <c r="U31" s="3"/>
      <c r="V31" s="3"/>
    </row>
    <row r="32" spans="1:22" x14ac:dyDescent="0.15">
      <c r="A32" s="3"/>
      <c r="B32" s="95"/>
      <c r="C32" s="3"/>
      <c r="D32" s="3"/>
      <c r="E32" s="18" t="s">
        <v>953</v>
      </c>
      <c r="F32" s="122">
        <v>1.5</v>
      </c>
      <c r="G32" s="96" t="s">
        <v>657</v>
      </c>
      <c r="H32" s="3"/>
      <c r="I32" s="3"/>
      <c r="J32" s="3"/>
      <c r="K32" s="81"/>
      <c r="L32" s="82"/>
      <c r="M32" s="82"/>
      <c r="N32" s="83"/>
      <c r="O32" s="3"/>
      <c r="P32" s="78" t="s">
        <v>701</v>
      </c>
      <c r="Q32" s="79"/>
      <c r="R32" s="79"/>
      <c r="S32" s="80"/>
      <c r="T32" s="3"/>
      <c r="U32" s="3"/>
      <c r="V32" s="3"/>
    </row>
    <row r="33" spans="1:22" x14ac:dyDescent="0.15">
      <c r="A33" s="3"/>
      <c r="B33" s="95"/>
      <c r="C33" s="3"/>
      <c r="D33" s="3"/>
      <c r="E33" s="18" t="s">
        <v>694</v>
      </c>
      <c r="F33" s="97">
        <f>10^(F32/10)</f>
        <v>1.4125375446227544</v>
      </c>
      <c r="G33" s="96" t="s">
        <v>658</v>
      </c>
      <c r="H33" s="3"/>
      <c r="I33" s="3"/>
      <c r="J33" s="3"/>
      <c r="K33" s="81"/>
      <c r="L33" s="82"/>
      <c r="M33" s="82"/>
      <c r="N33" s="83"/>
      <c r="O33" s="3"/>
      <c r="P33" s="81" t="s">
        <v>702</v>
      </c>
      <c r="Q33" s="82"/>
      <c r="R33" s="82"/>
      <c r="S33" s="83"/>
      <c r="T33" s="3"/>
      <c r="U33" s="3"/>
      <c r="V33" s="3"/>
    </row>
    <row r="34" spans="1:22" x14ac:dyDescent="0.15">
      <c r="A34" s="3"/>
      <c r="B34" s="95"/>
      <c r="C34" s="3"/>
      <c r="D34" s="3"/>
      <c r="E34" s="18" t="s">
        <v>695</v>
      </c>
      <c r="F34" s="122">
        <v>1.5</v>
      </c>
      <c r="G34" s="96" t="s">
        <v>657</v>
      </c>
      <c r="H34" s="3"/>
      <c r="I34" s="3"/>
      <c r="J34" s="3"/>
      <c r="K34" s="81"/>
      <c r="L34" s="82"/>
      <c r="M34" s="82"/>
      <c r="N34" s="83"/>
      <c r="O34" s="3"/>
      <c r="P34" s="84" t="s">
        <v>725</v>
      </c>
      <c r="Q34" s="85"/>
      <c r="R34" s="85"/>
      <c r="S34" s="86"/>
      <c r="T34" s="3"/>
      <c r="U34" s="3"/>
      <c r="V34" s="3"/>
    </row>
    <row r="35" spans="1:22" x14ac:dyDescent="0.15">
      <c r="A35" s="3"/>
      <c r="B35" s="95"/>
      <c r="C35" s="3"/>
      <c r="D35" s="3"/>
      <c r="E35" s="18" t="s">
        <v>696</v>
      </c>
      <c r="F35" s="97">
        <f>10^(F34/10)</f>
        <v>1.4125375446227544</v>
      </c>
      <c r="G35" s="96" t="s">
        <v>658</v>
      </c>
      <c r="H35" s="3"/>
      <c r="I35" s="3"/>
      <c r="J35" s="3"/>
      <c r="K35" s="81"/>
      <c r="L35" s="82"/>
      <c r="M35" s="82"/>
      <c r="N35" s="83"/>
      <c r="O35" s="3"/>
      <c r="P35" s="3"/>
      <c r="Q35" s="3"/>
      <c r="R35" s="3"/>
      <c r="S35" s="3"/>
      <c r="T35" s="3"/>
      <c r="U35" s="3"/>
      <c r="V35" s="3"/>
    </row>
    <row r="36" spans="1:22" x14ac:dyDescent="0.15">
      <c r="A36" s="3"/>
      <c r="B36" s="95"/>
      <c r="C36" s="3"/>
      <c r="D36" s="3"/>
      <c r="E36" s="18" t="s">
        <v>952</v>
      </c>
      <c r="F36" s="123">
        <v>90</v>
      </c>
      <c r="G36" s="96" t="s">
        <v>659</v>
      </c>
      <c r="H36" s="3"/>
      <c r="I36" s="3"/>
      <c r="J36" s="3"/>
      <c r="K36" s="81"/>
      <c r="L36" s="82"/>
      <c r="M36" s="82"/>
      <c r="N36" s="83"/>
      <c r="O36" s="3"/>
      <c r="P36" s="3" t="s">
        <v>512</v>
      </c>
      <c r="Q36" s="3"/>
      <c r="R36" s="3"/>
      <c r="S36" s="3"/>
      <c r="T36" s="3"/>
      <c r="U36" s="3"/>
      <c r="V36" s="3"/>
    </row>
    <row r="37" spans="1:22" x14ac:dyDescent="0.15">
      <c r="A37" s="3"/>
      <c r="B37" s="95"/>
      <c r="C37" s="3"/>
      <c r="D37" s="3"/>
      <c r="E37" s="18" t="s">
        <v>952</v>
      </c>
      <c r="F37" s="19">
        <f>RADIANS(F36)</f>
        <v>1.5707963267948966</v>
      </c>
      <c r="G37" s="96" t="s">
        <v>660</v>
      </c>
      <c r="H37" s="3"/>
      <c r="I37" s="3"/>
      <c r="J37" s="3"/>
      <c r="K37" s="81"/>
      <c r="L37" s="82"/>
      <c r="M37" s="82"/>
      <c r="N37" s="83"/>
      <c r="O37" s="3"/>
      <c r="P37" s="3"/>
      <c r="Q37" s="3"/>
      <c r="R37" s="3"/>
      <c r="S37" s="3"/>
      <c r="T37" s="3"/>
      <c r="U37" s="3"/>
      <c r="V37" s="3"/>
    </row>
    <row r="38" spans="1:22" x14ac:dyDescent="0.15">
      <c r="A38" s="3"/>
      <c r="B38" s="95"/>
      <c r="C38" s="3"/>
      <c r="D38" s="3"/>
      <c r="E38" s="3"/>
      <c r="F38" s="32"/>
      <c r="G38" s="98"/>
      <c r="H38" s="3"/>
      <c r="I38" s="3"/>
      <c r="J38" s="3"/>
      <c r="K38" s="84"/>
      <c r="L38" s="85"/>
      <c r="M38" s="85"/>
      <c r="N38" s="86"/>
      <c r="O38" s="3"/>
      <c r="P38" s="3"/>
      <c r="Q38" s="3"/>
      <c r="R38" s="3"/>
      <c r="S38" s="3"/>
      <c r="T38" s="3"/>
      <c r="U38" s="3"/>
      <c r="V38" s="3"/>
    </row>
    <row r="39" spans="1:22" ht="14" thickBot="1" x14ac:dyDescent="0.2">
      <c r="A39" s="3"/>
      <c r="B39" s="95"/>
      <c r="C39" s="3"/>
      <c r="D39" s="3"/>
      <c r="E39" s="18" t="s">
        <v>661</v>
      </c>
      <c r="F39" s="99">
        <f>0.5*(1+((1-F33^2)*(1-F35^2)*COS(2*F37)+4*F33*F35)/((1+F33^2)*(1+F35^2)))</f>
        <v>0.88959076639675638</v>
      </c>
      <c r="G39" s="96" t="s">
        <v>658</v>
      </c>
      <c r="H39" s="3"/>
      <c r="I39" s="3"/>
      <c r="J39" s="3"/>
      <c r="K39" s="3"/>
      <c r="L39" s="3"/>
      <c r="M39" s="3"/>
      <c r="N39" s="3"/>
      <c r="O39" s="3"/>
      <c r="P39" s="3"/>
      <c r="Q39" s="3"/>
      <c r="R39" s="3"/>
      <c r="S39" s="3"/>
      <c r="T39" s="3"/>
      <c r="U39" s="3"/>
      <c r="V39" s="3"/>
    </row>
    <row r="40" spans="1:22" ht="14" thickBot="1" x14ac:dyDescent="0.2">
      <c r="A40" s="3"/>
      <c r="B40" s="95"/>
      <c r="C40" s="3"/>
      <c r="D40" s="3"/>
      <c r="E40" s="18" t="s">
        <v>662</v>
      </c>
      <c r="F40" s="88">
        <f>-10*LOG(F39)</f>
        <v>0.50809733545008262</v>
      </c>
      <c r="G40" s="96" t="s">
        <v>657</v>
      </c>
      <c r="H40" s="3"/>
      <c r="I40" s="3"/>
      <c r="J40" s="3"/>
      <c r="K40" s="3"/>
      <c r="L40" s="4" t="s">
        <v>692</v>
      </c>
      <c r="M40" s="3"/>
      <c r="N40" s="3"/>
      <c r="O40" s="3"/>
      <c r="P40" s="3"/>
      <c r="Q40" s="3"/>
      <c r="R40" s="3"/>
      <c r="S40" s="3"/>
      <c r="T40" s="3"/>
      <c r="U40" s="3"/>
      <c r="V40" s="3"/>
    </row>
    <row r="41" spans="1:22" x14ac:dyDescent="0.15">
      <c r="A41" s="3"/>
      <c r="B41" s="95"/>
      <c r="C41" s="3"/>
      <c r="D41" s="3"/>
      <c r="E41" s="18"/>
      <c r="F41" s="100"/>
      <c r="G41" s="96"/>
      <c r="H41" s="3"/>
      <c r="I41" s="3"/>
      <c r="J41" s="3"/>
      <c r="K41" s="3"/>
      <c r="L41" s="3"/>
      <c r="M41" s="3"/>
      <c r="N41" s="3"/>
      <c r="O41" s="3"/>
      <c r="P41" s="3"/>
      <c r="Q41" s="3"/>
      <c r="R41" s="3"/>
      <c r="S41" s="3"/>
      <c r="T41" s="3"/>
      <c r="U41" s="3"/>
      <c r="V41" s="3"/>
    </row>
    <row r="42" spans="1:22" x14ac:dyDescent="0.15">
      <c r="A42" s="3"/>
      <c r="B42" s="93" t="s">
        <v>703</v>
      </c>
      <c r="C42" s="87"/>
      <c r="D42" s="87"/>
      <c r="E42" s="101"/>
      <c r="F42" s="102"/>
      <c r="G42" s="103"/>
      <c r="H42" s="3"/>
      <c r="I42" s="4" t="s">
        <v>848</v>
      </c>
      <c r="J42" s="229" t="s">
        <v>849</v>
      </c>
      <c r="K42" s="3"/>
      <c r="L42" s="3"/>
      <c r="M42" s="3"/>
      <c r="N42" s="3"/>
      <c r="O42" s="3"/>
      <c r="P42" s="3"/>
      <c r="Q42" s="3"/>
      <c r="R42" s="3"/>
      <c r="S42" s="3"/>
      <c r="T42" s="3"/>
      <c r="U42" s="3"/>
      <c r="V42" s="3"/>
    </row>
    <row r="43" spans="1:22" x14ac:dyDescent="0.15">
      <c r="A43" s="3"/>
      <c r="B43" s="95"/>
      <c r="C43" s="3" t="s">
        <v>685</v>
      </c>
      <c r="D43" s="3"/>
      <c r="E43" s="18"/>
      <c r="F43" s="888">
        <f>1-F39</f>
        <v>0.11040923360324362</v>
      </c>
      <c r="G43" s="96"/>
      <c r="H43" s="3"/>
      <c r="I43" s="3"/>
      <c r="J43" s="3"/>
      <c r="K43" s="3"/>
      <c r="L43" s="3"/>
      <c r="M43" s="3"/>
      <c r="N43" s="3"/>
      <c r="O43" s="3"/>
      <c r="P43" s="3"/>
      <c r="Q43" s="3"/>
      <c r="R43" s="3"/>
      <c r="S43" s="3"/>
      <c r="T43" s="3"/>
      <c r="U43" s="3"/>
      <c r="V43" s="3"/>
    </row>
    <row r="44" spans="1:22" x14ac:dyDescent="0.15">
      <c r="A44" s="3"/>
      <c r="B44" s="95"/>
      <c r="C44" s="3" t="s">
        <v>685</v>
      </c>
      <c r="D44" s="3"/>
      <c r="E44" s="3"/>
      <c r="F44" s="889">
        <f>10*LOG10(1-F39)</f>
        <v>-9.5699460472957156</v>
      </c>
      <c r="G44" s="96" t="s">
        <v>657</v>
      </c>
      <c r="H44" s="3"/>
      <c r="I44" s="3"/>
      <c r="J44" s="3"/>
      <c r="K44" s="3"/>
      <c r="L44" s="3"/>
      <c r="M44" s="3"/>
      <c r="N44" s="3"/>
      <c r="O44" s="3"/>
      <c r="P44" s="3"/>
      <c r="Q44" s="3"/>
      <c r="R44" s="3"/>
      <c r="S44" s="3"/>
      <c r="T44" s="3"/>
      <c r="U44" s="3"/>
      <c r="V44" s="3"/>
    </row>
    <row r="45" spans="1:22" ht="14" thickBot="1" x14ac:dyDescent="0.2">
      <c r="A45" s="3"/>
      <c r="B45" s="95"/>
      <c r="C45" s="3" t="s">
        <v>686</v>
      </c>
      <c r="D45" s="3"/>
      <c r="E45" s="3"/>
      <c r="F45" s="887">
        <f>F40-F44</f>
        <v>10.078043382745799</v>
      </c>
      <c r="G45" s="96" t="s">
        <v>657</v>
      </c>
      <c r="H45" s="3"/>
      <c r="I45" s="3" t="s">
        <v>512</v>
      </c>
      <c r="J45" s="3"/>
      <c r="K45" s="3"/>
      <c r="L45" s="3"/>
      <c r="M45" s="3"/>
      <c r="N45" s="3"/>
      <c r="O45" s="3"/>
      <c r="P45" s="3"/>
      <c r="Q45" s="3"/>
      <c r="R45" s="3"/>
      <c r="S45" s="3"/>
      <c r="T45" s="3"/>
      <c r="U45" s="3"/>
      <c r="V45" s="3"/>
    </row>
    <row r="46" spans="1:22" ht="14" thickBot="1" x14ac:dyDescent="0.2">
      <c r="A46" s="3"/>
      <c r="B46" s="105"/>
      <c r="C46" s="106"/>
      <c r="D46" s="106"/>
      <c r="E46" s="106"/>
      <c r="F46" s="106" t="s">
        <v>512</v>
      </c>
      <c r="G46" s="107"/>
      <c r="H46" s="3"/>
      <c r="I46" s="3"/>
      <c r="J46" s="3"/>
      <c r="K46" s="3"/>
      <c r="L46" s="3"/>
      <c r="M46" s="3"/>
      <c r="N46" s="3"/>
      <c r="O46" s="3"/>
      <c r="P46" s="3"/>
      <c r="Q46" s="3"/>
      <c r="R46" s="3"/>
      <c r="S46" s="3"/>
      <c r="T46" s="3"/>
      <c r="U46" s="3"/>
      <c r="V46" s="3"/>
    </row>
    <row r="47" spans="1:22" x14ac:dyDescent="0.15">
      <c r="A47" s="3"/>
      <c r="B47" s="3"/>
      <c r="C47" s="3"/>
      <c r="D47" s="3"/>
      <c r="E47" s="3"/>
      <c r="F47" s="3"/>
      <c r="G47" s="3"/>
      <c r="H47" s="3"/>
      <c r="I47" s="3" t="s">
        <v>693</v>
      </c>
      <c r="J47" s="3" t="s">
        <v>512</v>
      </c>
      <c r="K47" s="3"/>
      <c r="L47" s="3"/>
      <c r="M47" s="3"/>
      <c r="N47" s="3"/>
      <c r="O47" s="3"/>
      <c r="P47" s="3"/>
      <c r="Q47" s="3"/>
      <c r="R47" s="3"/>
      <c r="S47" s="3"/>
      <c r="T47" s="3"/>
      <c r="U47" s="3"/>
      <c r="V47" s="3"/>
    </row>
    <row r="48" spans="1:22" ht="14" thickBot="1" x14ac:dyDescent="0.2">
      <c r="A48" s="3"/>
      <c r="B48" s="3"/>
      <c r="C48" s="3"/>
      <c r="D48" s="3"/>
      <c r="E48" s="3"/>
      <c r="F48" s="3"/>
      <c r="G48" s="3"/>
      <c r="H48" s="3"/>
      <c r="I48" s="3"/>
      <c r="J48" s="3"/>
      <c r="K48" s="3"/>
      <c r="L48" s="3"/>
      <c r="M48" s="3"/>
      <c r="N48" s="3"/>
      <c r="O48" s="3"/>
      <c r="P48" s="3"/>
      <c r="Q48" s="3"/>
      <c r="R48" s="3"/>
      <c r="S48" s="3"/>
      <c r="T48" s="3"/>
      <c r="U48" s="3"/>
      <c r="V48" s="3"/>
    </row>
    <row r="49" spans="1:22" ht="14" thickBot="1" x14ac:dyDescent="0.2">
      <c r="A49" s="3"/>
      <c r="B49" s="187" t="s">
        <v>851</v>
      </c>
      <c r="C49" s="186"/>
      <c r="D49" s="231" t="s">
        <v>1056</v>
      </c>
      <c r="E49" s="3"/>
      <c r="F49" s="3"/>
      <c r="G49" s="3"/>
      <c r="H49" s="3"/>
      <c r="I49" s="3"/>
      <c r="J49" s="3"/>
      <c r="K49" s="3"/>
      <c r="L49" s="3"/>
      <c r="M49" s="3"/>
      <c r="N49" s="3"/>
      <c r="O49" s="3"/>
      <c r="P49" s="3"/>
      <c r="Q49" s="3"/>
      <c r="R49" s="3"/>
      <c r="S49" s="3"/>
      <c r="T49" s="3"/>
      <c r="U49" s="3"/>
      <c r="V49" s="3"/>
    </row>
    <row r="50" spans="1:22" x14ac:dyDescent="0.15">
      <c r="A50" s="3"/>
      <c r="B50" s="392" t="s">
        <v>512</v>
      </c>
      <c r="C50" s="91" t="s">
        <v>698</v>
      </c>
      <c r="D50" s="91"/>
      <c r="E50" s="77"/>
      <c r="F50" s="77"/>
      <c r="G50" s="92"/>
      <c r="H50" s="3"/>
      <c r="I50" s="3"/>
      <c r="J50" s="3"/>
      <c r="K50" s="3"/>
      <c r="L50" s="3"/>
      <c r="M50" s="3"/>
      <c r="N50" s="3"/>
      <c r="O50" s="3"/>
      <c r="P50" s="3"/>
      <c r="Q50" s="3"/>
      <c r="R50" s="3"/>
      <c r="S50" s="3"/>
      <c r="T50" s="3"/>
      <c r="U50" s="3"/>
      <c r="V50" s="3"/>
    </row>
    <row r="51" spans="1:22" x14ac:dyDescent="0.15">
      <c r="A51" s="3"/>
      <c r="B51" s="93" t="s">
        <v>697</v>
      </c>
      <c r="C51" s="87"/>
      <c r="D51" s="87"/>
      <c r="E51" s="87"/>
      <c r="F51" s="87"/>
      <c r="G51" s="94"/>
      <c r="H51" s="3"/>
      <c r="I51" s="3"/>
      <c r="J51" s="3"/>
      <c r="K51" s="3"/>
      <c r="L51" s="3"/>
      <c r="M51" s="3"/>
      <c r="N51" s="3"/>
      <c r="O51" s="3"/>
      <c r="P51" s="3"/>
      <c r="Q51" s="3"/>
      <c r="R51" s="3"/>
      <c r="S51" s="3"/>
      <c r="T51" s="3"/>
      <c r="U51" s="3"/>
      <c r="V51" s="3"/>
    </row>
    <row r="52" spans="1:22" x14ac:dyDescent="0.15">
      <c r="A52" s="3"/>
      <c r="B52" s="95"/>
      <c r="C52" s="3"/>
      <c r="D52" s="3"/>
      <c r="E52" s="18" t="s">
        <v>953</v>
      </c>
      <c r="F52" s="122">
        <v>1.5</v>
      </c>
      <c r="G52" s="96" t="s">
        <v>657</v>
      </c>
      <c r="H52" s="3"/>
      <c r="I52" s="3"/>
      <c r="J52" s="3"/>
      <c r="K52" s="3"/>
      <c r="L52" s="3"/>
      <c r="M52" s="3"/>
      <c r="N52" s="3"/>
      <c r="O52" s="3"/>
      <c r="P52" s="3"/>
      <c r="Q52" s="3"/>
      <c r="R52" s="3"/>
      <c r="S52" s="3"/>
      <c r="T52" s="3"/>
      <c r="U52" s="3"/>
      <c r="V52" s="3"/>
    </row>
    <row r="53" spans="1:22" x14ac:dyDescent="0.15">
      <c r="A53" s="3"/>
      <c r="B53" s="95"/>
      <c r="C53" s="3"/>
      <c r="D53" s="3"/>
      <c r="E53" s="18" t="s">
        <v>694</v>
      </c>
      <c r="F53" s="97">
        <f>10^(F52/10)</f>
        <v>1.4125375446227544</v>
      </c>
      <c r="G53" s="96" t="s">
        <v>658</v>
      </c>
      <c r="H53" s="3"/>
      <c r="I53" s="3"/>
      <c r="J53" s="3"/>
      <c r="K53" s="3"/>
      <c r="L53" s="3"/>
      <c r="M53" s="3"/>
      <c r="N53" s="3"/>
      <c r="O53" s="3"/>
      <c r="P53" s="3"/>
      <c r="Q53" s="3"/>
      <c r="R53" s="3"/>
      <c r="S53" s="3"/>
      <c r="T53" s="3"/>
      <c r="U53" s="3"/>
      <c r="V53" s="3"/>
    </row>
    <row r="54" spans="1:22" x14ac:dyDescent="0.15">
      <c r="A54" s="3"/>
      <c r="B54" s="95"/>
      <c r="C54" s="3"/>
      <c r="D54" s="3"/>
      <c r="E54" s="18" t="s">
        <v>695</v>
      </c>
      <c r="F54" s="122">
        <v>1.5</v>
      </c>
      <c r="G54" s="96" t="s">
        <v>657</v>
      </c>
      <c r="H54" s="3"/>
      <c r="I54" s="3"/>
      <c r="J54" s="3"/>
      <c r="K54" s="3"/>
      <c r="L54" s="3"/>
      <c r="M54" s="3" t="s">
        <v>512</v>
      </c>
      <c r="N54" s="3"/>
      <c r="O54" s="3"/>
      <c r="P54" s="3"/>
      <c r="Q54" s="3"/>
      <c r="R54" s="3"/>
      <c r="S54" s="3"/>
      <c r="T54" s="3"/>
      <c r="U54" s="3"/>
      <c r="V54" s="3"/>
    </row>
    <row r="55" spans="1:22" x14ac:dyDescent="0.15">
      <c r="A55" s="3"/>
      <c r="B55" s="95"/>
      <c r="C55" s="3"/>
      <c r="D55" s="3"/>
      <c r="E55" s="18" t="s">
        <v>696</v>
      </c>
      <c r="F55" s="97">
        <f>10^(F54/10)</f>
        <v>1.4125375446227544</v>
      </c>
      <c r="G55" s="96" t="s">
        <v>658</v>
      </c>
      <c r="H55" s="3"/>
      <c r="I55" s="3"/>
      <c r="J55" s="3"/>
      <c r="K55" s="3"/>
      <c r="L55" s="3"/>
      <c r="M55" s="3"/>
      <c r="N55" s="3"/>
      <c r="O55" s="3"/>
      <c r="P55" s="3"/>
      <c r="Q55" s="3"/>
      <c r="R55" s="3"/>
      <c r="S55" s="3"/>
      <c r="T55" s="3"/>
      <c r="U55" s="3"/>
      <c r="V55" s="3"/>
    </row>
    <row r="56" spans="1:22" x14ac:dyDescent="0.15">
      <c r="A56" s="3"/>
      <c r="B56" s="95"/>
      <c r="C56" s="3"/>
      <c r="D56" s="3"/>
      <c r="E56" s="18" t="s">
        <v>952</v>
      </c>
      <c r="F56" s="123">
        <v>90</v>
      </c>
      <c r="G56" s="96" t="s">
        <v>659</v>
      </c>
      <c r="H56" s="3"/>
      <c r="I56" s="3"/>
      <c r="J56" s="3"/>
      <c r="K56" s="3"/>
      <c r="L56" s="3"/>
      <c r="M56" s="3"/>
      <c r="N56" s="3"/>
      <c r="O56" s="3"/>
      <c r="P56" s="3"/>
      <c r="Q56" s="3"/>
      <c r="R56" s="3"/>
      <c r="S56" s="3"/>
      <c r="T56" s="3"/>
      <c r="U56" s="3"/>
      <c r="V56" s="3"/>
    </row>
    <row r="57" spans="1:22" x14ac:dyDescent="0.15">
      <c r="A57" s="3"/>
      <c r="B57" s="95"/>
      <c r="C57" s="3"/>
      <c r="D57" s="3"/>
      <c r="E57" s="18" t="s">
        <v>952</v>
      </c>
      <c r="F57" s="19">
        <f>RADIANS(F56)</f>
        <v>1.5707963267948966</v>
      </c>
      <c r="G57" s="96" t="s">
        <v>660</v>
      </c>
      <c r="H57" s="3"/>
      <c r="I57" s="3"/>
      <c r="J57" s="3"/>
      <c r="K57" s="3"/>
      <c r="L57" s="3"/>
      <c r="M57" s="3"/>
      <c r="N57" s="3"/>
      <c r="O57" s="3"/>
      <c r="P57" s="3"/>
      <c r="Q57" s="3"/>
      <c r="R57" s="3"/>
      <c r="S57" s="3"/>
      <c r="T57" s="3"/>
      <c r="U57" s="3"/>
      <c r="V57" s="3"/>
    </row>
    <row r="58" spans="1:22" x14ac:dyDescent="0.15">
      <c r="A58" s="3"/>
      <c r="B58" s="95"/>
      <c r="C58" s="3"/>
      <c r="D58" s="3"/>
      <c r="E58" s="3"/>
      <c r="F58" s="32"/>
      <c r="G58" s="98"/>
      <c r="H58" s="3"/>
      <c r="I58" s="3"/>
      <c r="J58" s="3"/>
      <c r="K58" s="3"/>
      <c r="L58" s="3"/>
      <c r="M58" s="3"/>
      <c r="N58" s="3"/>
      <c r="O58" s="3"/>
      <c r="P58" s="3"/>
      <c r="Q58" s="3"/>
      <c r="R58" s="3"/>
      <c r="S58" s="3"/>
      <c r="T58" s="3"/>
      <c r="U58" s="3"/>
      <c r="V58" s="3"/>
    </row>
    <row r="59" spans="1:22" ht="14" thickBot="1" x14ac:dyDescent="0.2">
      <c r="A59" s="3"/>
      <c r="B59" s="95"/>
      <c r="C59" s="3"/>
      <c r="D59" s="3"/>
      <c r="E59" s="18" t="s">
        <v>661</v>
      </c>
      <c r="F59" s="99">
        <f>0.5*(1+((1-F53^2)*(1-F55^2)*COS(2*F57)+4*F53*F55)/((1+F53^2)*(1+F55^2)))</f>
        <v>0.88959076639675638</v>
      </c>
      <c r="G59" s="96" t="s">
        <v>658</v>
      </c>
      <c r="H59" s="3"/>
      <c r="I59" s="3"/>
      <c r="J59" s="3"/>
      <c r="K59" s="3"/>
      <c r="L59" s="3"/>
      <c r="M59" s="3"/>
      <c r="N59" s="3"/>
      <c r="O59" s="3"/>
      <c r="P59" s="3"/>
      <c r="Q59" s="3"/>
      <c r="R59" s="3"/>
      <c r="S59" s="3"/>
      <c r="T59" s="3"/>
      <c r="U59" s="3"/>
      <c r="V59" s="3"/>
    </row>
    <row r="60" spans="1:22" ht="14" thickBot="1" x14ac:dyDescent="0.2">
      <c r="A60" s="3"/>
      <c r="B60" s="95"/>
      <c r="C60" s="3"/>
      <c r="D60" s="3"/>
      <c r="E60" s="18" t="s">
        <v>662</v>
      </c>
      <c r="F60" s="88">
        <f>-10*LOG(F59)</f>
        <v>0.50809733545008262</v>
      </c>
      <c r="G60" s="96" t="s">
        <v>657</v>
      </c>
      <c r="H60" s="3"/>
      <c r="I60" s="3"/>
      <c r="J60" s="3"/>
      <c r="K60" s="3"/>
      <c r="L60" s="3"/>
      <c r="M60" s="3"/>
      <c r="N60" s="3"/>
      <c r="O60" s="3"/>
      <c r="P60" s="3"/>
      <c r="Q60" s="3"/>
      <c r="R60" s="3"/>
      <c r="S60" s="3"/>
      <c r="T60" s="3"/>
      <c r="U60" s="3"/>
      <c r="V60" s="3"/>
    </row>
    <row r="61" spans="1:22" x14ac:dyDescent="0.15">
      <c r="A61" s="3"/>
      <c r="B61" s="95"/>
      <c r="C61" s="3"/>
      <c r="D61" s="3"/>
      <c r="E61" s="18"/>
      <c r="F61" s="100"/>
      <c r="G61" s="96"/>
      <c r="H61" s="3"/>
      <c r="I61" s="3"/>
      <c r="J61" s="3"/>
      <c r="K61" s="3"/>
      <c r="L61" s="3"/>
      <c r="M61" s="3"/>
      <c r="N61" s="3"/>
      <c r="O61" s="3"/>
      <c r="P61" s="3"/>
      <c r="Q61" s="3"/>
      <c r="R61" s="3"/>
      <c r="S61" s="3"/>
      <c r="T61" s="3"/>
      <c r="U61" s="3"/>
      <c r="V61" s="3"/>
    </row>
    <row r="62" spans="1:22" x14ac:dyDescent="0.15">
      <c r="A62" s="3"/>
      <c r="B62" s="93" t="s">
        <v>703</v>
      </c>
      <c r="C62" s="87"/>
      <c r="D62" s="87"/>
      <c r="E62" s="101"/>
      <c r="F62" s="102"/>
      <c r="G62" s="103"/>
      <c r="H62" s="3"/>
      <c r="I62" s="3"/>
      <c r="J62" s="3"/>
      <c r="K62" s="3"/>
      <c r="L62" s="3"/>
      <c r="M62" s="3"/>
      <c r="N62" s="3"/>
      <c r="O62" s="3"/>
      <c r="P62" s="3"/>
      <c r="Q62" s="3"/>
      <c r="R62" s="3"/>
      <c r="S62" s="3"/>
      <c r="T62" s="3"/>
      <c r="U62" s="3"/>
      <c r="V62" s="3"/>
    </row>
    <row r="63" spans="1:22" x14ac:dyDescent="0.15">
      <c r="A63" s="3"/>
      <c r="B63" s="95"/>
      <c r="C63" s="3" t="s">
        <v>685</v>
      </c>
      <c r="D63" s="3"/>
      <c r="E63" s="18"/>
      <c r="F63" s="104">
        <f>1-F59</f>
        <v>0.11040923360324362</v>
      </c>
      <c r="G63" s="96"/>
      <c r="H63" s="3"/>
      <c r="I63" s="3"/>
      <c r="J63" s="3"/>
      <c r="K63" s="3"/>
      <c r="L63" s="3"/>
      <c r="M63" s="3"/>
      <c r="N63" s="3"/>
      <c r="O63" s="3"/>
      <c r="P63" s="3"/>
      <c r="Q63" s="3"/>
      <c r="R63" s="3"/>
      <c r="S63" s="3"/>
      <c r="T63" s="3"/>
      <c r="U63" s="3"/>
      <c r="V63" s="3"/>
    </row>
    <row r="64" spans="1:22" ht="14" thickBot="1" x14ac:dyDescent="0.2">
      <c r="A64" s="3"/>
      <c r="B64" s="95"/>
      <c r="C64" s="3" t="s">
        <v>685</v>
      </c>
      <c r="D64" s="3"/>
      <c r="E64" s="3"/>
      <c r="F64" s="97">
        <f>10*LOG10(1-F59)</f>
        <v>-9.5699460472957156</v>
      </c>
      <c r="G64" s="96" t="s">
        <v>657</v>
      </c>
      <c r="H64" s="3"/>
      <c r="I64" s="3"/>
      <c r="J64" s="3"/>
      <c r="K64" s="3"/>
      <c r="L64" s="3"/>
      <c r="M64" s="3"/>
      <c r="N64" s="3"/>
      <c r="O64" s="3"/>
      <c r="P64" s="3"/>
      <c r="Q64" s="3"/>
      <c r="R64" s="3"/>
      <c r="S64" s="3"/>
      <c r="T64" s="3"/>
      <c r="U64" s="3"/>
      <c r="V64" s="3"/>
    </row>
    <row r="65" spans="1:22" ht="14" thickBot="1" x14ac:dyDescent="0.2">
      <c r="A65" s="3"/>
      <c r="B65" s="95"/>
      <c r="C65" s="3" t="s">
        <v>686</v>
      </c>
      <c r="D65" s="3"/>
      <c r="E65" s="3"/>
      <c r="F65" s="89">
        <f>F60-F64</f>
        <v>10.078043382745799</v>
      </c>
      <c r="G65" s="96" t="s">
        <v>657</v>
      </c>
      <c r="H65" s="3"/>
      <c r="I65" s="3"/>
      <c r="J65" s="3"/>
      <c r="K65" s="3"/>
      <c r="L65" s="3"/>
      <c r="M65" s="3"/>
      <c r="N65" s="3"/>
      <c r="O65" s="3"/>
      <c r="P65" s="3"/>
      <c r="Q65" s="3"/>
      <c r="R65" s="3"/>
      <c r="S65" s="3"/>
      <c r="T65" s="3"/>
      <c r="U65" s="3"/>
      <c r="V65" s="3"/>
    </row>
    <row r="66" spans="1:22" ht="14" thickBot="1" x14ac:dyDescent="0.2">
      <c r="A66" s="3"/>
      <c r="B66" s="105"/>
      <c r="C66" s="106"/>
      <c r="D66" s="106"/>
      <c r="E66" s="106"/>
      <c r="F66" s="106" t="s">
        <v>512</v>
      </c>
      <c r="G66" s="107"/>
      <c r="H66" s="3"/>
      <c r="I66" s="3"/>
      <c r="J66" s="3"/>
      <c r="K66" s="3"/>
      <c r="L66" s="3"/>
      <c r="M66" s="3"/>
      <c r="N66" s="3"/>
      <c r="O66" s="3"/>
      <c r="P66" s="3"/>
      <c r="Q66" s="3"/>
      <c r="R66" s="3"/>
      <c r="S66" s="3"/>
      <c r="T66" s="3"/>
      <c r="U66" s="3"/>
      <c r="V66" s="3"/>
    </row>
    <row r="67" spans="1:22" x14ac:dyDescent="0.15">
      <c r="A67" s="3"/>
      <c r="B67" s="3"/>
      <c r="C67" s="3"/>
      <c r="D67" s="3"/>
      <c r="E67" s="3"/>
      <c r="F67" s="3"/>
      <c r="G67" s="3"/>
      <c r="H67" s="3"/>
      <c r="I67" s="3"/>
      <c r="J67" s="3"/>
      <c r="K67" s="3"/>
      <c r="L67" s="3"/>
      <c r="M67" s="3"/>
      <c r="N67" s="3"/>
      <c r="O67" s="3"/>
      <c r="P67" s="3"/>
      <c r="Q67" s="3"/>
      <c r="R67" s="3"/>
      <c r="S67" s="3"/>
      <c r="T67" s="3"/>
      <c r="U67" s="3"/>
      <c r="V67" s="3"/>
    </row>
    <row r="68" spans="1:22" x14ac:dyDescent="0.15">
      <c r="A68" s="3"/>
      <c r="B68" s="3"/>
      <c r="C68" s="3"/>
      <c r="D68" s="3"/>
      <c r="E68" s="3"/>
      <c r="F68" s="3"/>
      <c r="G68" s="3"/>
      <c r="H68" s="3"/>
      <c r="I68" s="3"/>
      <c r="J68" s="3"/>
      <c r="K68" s="3"/>
      <c r="L68" s="3"/>
      <c r="M68" s="3"/>
      <c r="N68" s="3"/>
      <c r="O68" s="3"/>
      <c r="P68" s="3"/>
      <c r="Q68" s="3"/>
      <c r="R68" s="3"/>
      <c r="S68" s="3"/>
      <c r="T68" s="3"/>
      <c r="U68" s="3"/>
      <c r="V68" s="3"/>
    </row>
    <row r="69" spans="1:22" x14ac:dyDescent="0.15">
      <c r="A69" s="3"/>
      <c r="B69" s="3"/>
      <c r="C69" s="3"/>
      <c r="D69" s="3"/>
      <c r="E69" s="3"/>
      <c r="F69" s="3"/>
      <c r="G69" s="3"/>
      <c r="H69" s="3"/>
      <c r="I69" s="3"/>
      <c r="J69" s="3"/>
      <c r="K69" s="3"/>
      <c r="L69" s="3"/>
      <c r="M69" s="3"/>
      <c r="N69" s="3"/>
      <c r="O69" s="3"/>
      <c r="P69" s="3"/>
      <c r="Q69" s="3"/>
      <c r="R69" s="3"/>
      <c r="S69" s="3"/>
      <c r="T69" s="3"/>
      <c r="U69" s="3"/>
      <c r="V69" s="3"/>
    </row>
    <row r="70" spans="1:22" x14ac:dyDescent="0.15">
      <c r="A70" s="3"/>
      <c r="B70" s="628"/>
      <c r="C70" s="628"/>
      <c r="D70" s="628"/>
      <c r="E70" s="628"/>
      <c r="F70" s="629" t="s">
        <v>704</v>
      </c>
      <c r="G70" s="630"/>
      <c r="H70" s="630"/>
      <c r="I70" s="630" t="s">
        <v>512</v>
      </c>
      <c r="J70" s="630"/>
      <c r="K70" s="3"/>
      <c r="L70" s="3"/>
      <c r="M70" s="3"/>
      <c r="N70" s="3"/>
      <c r="O70" s="3"/>
      <c r="P70" s="3"/>
      <c r="Q70" s="3"/>
      <c r="R70" s="3"/>
      <c r="S70" s="3"/>
      <c r="T70" s="3"/>
      <c r="U70" s="3"/>
      <c r="V70" s="3"/>
    </row>
    <row r="71" spans="1:22" x14ac:dyDescent="0.15">
      <c r="A71" s="3"/>
      <c r="B71" s="24"/>
      <c r="C71" s="24"/>
      <c r="D71" s="48" t="s">
        <v>705</v>
      </c>
      <c r="E71" s="24"/>
      <c r="F71" s="48" t="s">
        <v>706</v>
      </c>
      <c r="G71" s="24"/>
      <c r="H71" s="626" t="s">
        <v>707</v>
      </c>
      <c r="I71" s="24"/>
      <c r="J71" s="627" t="s">
        <v>689</v>
      </c>
      <c r="K71" s="3"/>
      <c r="L71" s="3"/>
      <c r="M71" s="3"/>
      <c r="N71" s="3"/>
      <c r="O71" s="3"/>
      <c r="P71" s="3"/>
      <c r="Q71" s="3"/>
      <c r="R71" s="3"/>
      <c r="S71" s="3"/>
      <c r="T71" s="3"/>
      <c r="U71" s="3"/>
      <c r="V71" s="3"/>
    </row>
    <row r="72" spans="1:22" x14ac:dyDescent="0.15">
      <c r="A72" s="3"/>
      <c r="B72" s="24"/>
      <c r="C72" s="24"/>
      <c r="D72" s="627" t="s">
        <v>687</v>
      </c>
      <c r="E72" s="627"/>
      <c r="F72" s="627" t="s">
        <v>688</v>
      </c>
      <c r="G72" s="627"/>
      <c r="H72" s="627" t="s">
        <v>691</v>
      </c>
      <c r="I72" s="24"/>
      <c r="J72" s="627" t="s">
        <v>690</v>
      </c>
      <c r="K72" s="3"/>
      <c r="L72" s="3"/>
      <c r="M72" s="3"/>
      <c r="N72" s="3"/>
      <c r="O72" s="3"/>
      <c r="P72" s="3"/>
      <c r="Q72" s="3"/>
      <c r="R72" s="3"/>
      <c r="S72" s="3"/>
      <c r="T72" s="3"/>
      <c r="U72" s="3"/>
      <c r="V72" s="3"/>
    </row>
    <row r="73" spans="1:22" x14ac:dyDescent="0.15">
      <c r="A73" s="3"/>
      <c r="B73" s="24"/>
      <c r="C73" s="24"/>
      <c r="D73" s="627" t="s">
        <v>690</v>
      </c>
      <c r="E73" s="627"/>
      <c r="F73" s="627" t="s">
        <v>690</v>
      </c>
      <c r="G73" s="627"/>
      <c r="H73" s="627"/>
      <c r="I73" s="24"/>
      <c r="J73" s="627"/>
      <c r="K73" s="3"/>
      <c r="L73" s="3"/>
      <c r="M73" s="3"/>
      <c r="N73" s="3"/>
      <c r="O73" s="3"/>
      <c r="P73" s="3"/>
      <c r="Q73" s="3"/>
      <c r="R73" s="3"/>
      <c r="S73" s="3"/>
      <c r="T73" s="3"/>
      <c r="U73" s="3"/>
      <c r="V73" s="3"/>
    </row>
    <row r="74" spans="1:22" x14ac:dyDescent="0.15">
      <c r="A74" s="3"/>
      <c r="B74" s="24"/>
      <c r="C74" s="24"/>
      <c r="D74" s="24"/>
      <c r="E74" s="24"/>
      <c r="F74" s="24"/>
      <c r="G74" s="24"/>
      <c r="H74" s="24"/>
      <c r="I74" s="24"/>
      <c r="J74" s="24"/>
      <c r="K74" s="3"/>
      <c r="L74" s="3"/>
      <c r="M74" s="3"/>
      <c r="N74" s="3"/>
      <c r="O74" s="3"/>
      <c r="P74" s="3"/>
      <c r="Q74" s="3"/>
      <c r="R74" s="3"/>
      <c r="S74" s="3"/>
      <c r="T74" s="3"/>
      <c r="U74" s="3"/>
      <c r="V74" s="3"/>
    </row>
    <row r="75" spans="1:22" x14ac:dyDescent="0.15">
      <c r="A75" s="3"/>
      <c r="B75" s="622" t="s">
        <v>713</v>
      </c>
      <c r="C75" s="623"/>
      <c r="D75" s="276">
        <v>0</v>
      </c>
      <c r="E75" s="276"/>
      <c r="F75" s="276">
        <v>0</v>
      </c>
      <c r="G75" s="276"/>
      <c r="H75" s="276">
        <v>90</v>
      </c>
      <c r="I75" s="276"/>
      <c r="J75" s="276">
        <v>0</v>
      </c>
      <c r="K75" s="3"/>
      <c r="L75" s="3"/>
      <c r="M75" s="3"/>
      <c r="N75" s="3"/>
      <c r="O75" s="3"/>
      <c r="P75" s="3"/>
      <c r="Q75" s="3"/>
      <c r="R75" s="3"/>
      <c r="S75" s="3"/>
      <c r="T75" s="3"/>
      <c r="U75" s="3"/>
      <c r="V75" s="3"/>
    </row>
    <row r="76" spans="1:22" x14ac:dyDescent="0.15">
      <c r="A76" s="3"/>
      <c r="B76" s="622" t="s">
        <v>712</v>
      </c>
      <c r="C76" s="623"/>
      <c r="D76" s="276">
        <v>0</v>
      </c>
      <c r="E76" s="276"/>
      <c r="F76" s="276">
        <v>1</v>
      </c>
      <c r="G76" s="276"/>
      <c r="H76" s="276">
        <v>90</v>
      </c>
      <c r="I76" s="276"/>
      <c r="J76" s="276">
        <v>-0.06</v>
      </c>
      <c r="K76" s="3"/>
      <c r="L76" s="3"/>
      <c r="M76" s="3"/>
      <c r="N76" s="3"/>
      <c r="O76" s="3"/>
      <c r="P76" s="3"/>
      <c r="Q76" s="3"/>
      <c r="R76" s="3"/>
      <c r="S76" s="3"/>
      <c r="T76" s="3"/>
      <c r="U76" s="3"/>
      <c r="V76" s="3"/>
    </row>
    <row r="77" spans="1:22" x14ac:dyDescent="0.15">
      <c r="A77" s="3"/>
      <c r="B77" s="623"/>
      <c r="C77" s="623"/>
      <c r="D77" s="276">
        <v>0</v>
      </c>
      <c r="E77" s="276"/>
      <c r="F77" s="276">
        <v>2</v>
      </c>
      <c r="G77" s="276"/>
      <c r="H77" s="276">
        <v>90</v>
      </c>
      <c r="I77" s="276"/>
      <c r="J77" s="276">
        <v>-0.22</v>
      </c>
      <c r="K77" s="3"/>
      <c r="L77" s="3"/>
      <c r="M77" s="3"/>
      <c r="N77" s="3"/>
      <c r="O77" s="3"/>
      <c r="P77" s="3"/>
      <c r="Q77" s="3"/>
      <c r="R77" s="3"/>
      <c r="S77" s="3"/>
      <c r="T77" s="3"/>
      <c r="U77" s="3"/>
      <c r="V77" s="3"/>
    </row>
    <row r="78" spans="1:22" x14ac:dyDescent="0.15">
      <c r="A78" s="3"/>
      <c r="B78" s="623"/>
      <c r="C78" s="623"/>
      <c r="D78" s="276">
        <v>0</v>
      </c>
      <c r="E78" s="276"/>
      <c r="F78" s="276">
        <v>3</v>
      </c>
      <c r="G78" s="276"/>
      <c r="H78" s="276">
        <v>90</v>
      </c>
      <c r="I78" s="624"/>
      <c r="J78" s="276">
        <v>-0.45</v>
      </c>
      <c r="K78" s="3"/>
      <c r="L78" s="3"/>
      <c r="M78" s="3"/>
      <c r="N78" s="3"/>
      <c r="O78" s="3"/>
      <c r="P78" s="3"/>
      <c r="Q78" s="3"/>
      <c r="R78" s="3"/>
      <c r="S78" s="3"/>
      <c r="T78" s="3"/>
      <c r="U78" s="3"/>
      <c r="V78" s="3"/>
    </row>
    <row r="79" spans="1:22" x14ac:dyDescent="0.15">
      <c r="A79" s="3"/>
      <c r="B79" s="623"/>
      <c r="C79" s="623"/>
      <c r="D79" s="276">
        <v>0</v>
      </c>
      <c r="E79" s="276"/>
      <c r="F79" s="276">
        <v>6</v>
      </c>
      <c r="G79" s="276"/>
      <c r="H79" s="276">
        <v>90</v>
      </c>
      <c r="I79" s="624"/>
      <c r="J79" s="276">
        <v>-1.33</v>
      </c>
      <c r="K79" s="3"/>
      <c r="L79" s="3"/>
      <c r="M79" s="3"/>
      <c r="N79" s="3"/>
      <c r="O79" s="3"/>
      <c r="P79" s="3"/>
      <c r="Q79" s="3"/>
      <c r="R79" s="3"/>
      <c r="S79" s="3"/>
      <c r="T79" s="3"/>
      <c r="U79" s="3"/>
      <c r="V79" s="3"/>
    </row>
    <row r="80" spans="1:22" x14ac:dyDescent="0.15">
      <c r="A80" s="3"/>
      <c r="B80" s="623"/>
      <c r="C80" s="623"/>
      <c r="D80" s="276">
        <v>0</v>
      </c>
      <c r="E80" s="276"/>
      <c r="F80" s="276">
        <v>10</v>
      </c>
      <c r="G80" s="276"/>
      <c r="H80" s="276">
        <v>90</v>
      </c>
      <c r="I80" s="276"/>
      <c r="J80" s="276">
        <v>-2.23</v>
      </c>
      <c r="K80" s="3"/>
      <c r="L80" s="3"/>
      <c r="M80" s="3"/>
      <c r="N80" s="3"/>
      <c r="O80" s="3"/>
      <c r="P80" s="3"/>
      <c r="Q80" s="3"/>
      <c r="R80" s="3"/>
      <c r="S80" s="3"/>
      <c r="T80" s="3"/>
      <c r="U80" s="3"/>
      <c r="V80" s="3"/>
    </row>
    <row r="81" spans="1:22" x14ac:dyDescent="0.15">
      <c r="A81" s="3"/>
      <c r="B81" s="623"/>
      <c r="C81" s="623"/>
      <c r="D81" s="276">
        <v>0</v>
      </c>
      <c r="E81" s="276"/>
      <c r="F81" s="276">
        <v>30</v>
      </c>
      <c r="G81" s="276"/>
      <c r="H81" s="276">
        <v>90</v>
      </c>
      <c r="I81" s="276"/>
      <c r="J81" s="276">
        <v>-3</v>
      </c>
      <c r="K81" s="3"/>
      <c r="L81" s="108" t="s">
        <v>710</v>
      </c>
      <c r="M81" s="109"/>
      <c r="N81" s="109"/>
      <c r="O81" s="110"/>
      <c r="P81" s="3"/>
      <c r="Q81" s="3"/>
      <c r="R81" s="3"/>
      <c r="S81" s="3"/>
      <c r="T81" s="3"/>
      <c r="U81" s="3"/>
      <c r="V81" s="3"/>
    </row>
    <row r="82" spans="1:22" x14ac:dyDescent="0.15">
      <c r="A82" s="3"/>
      <c r="B82" s="623"/>
      <c r="C82" s="623"/>
      <c r="D82" s="276">
        <v>0</v>
      </c>
      <c r="E82" s="276"/>
      <c r="F82" s="276">
        <v>30</v>
      </c>
      <c r="G82" s="276"/>
      <c r="H82" s="276">
        <v>0</v>
      </c>
      <c r="I82" s="276"/>
      <c r="J82" s="276">
        <v>-3</v>
      </c>
      <c r="K82" s="3"/>
      <c r="L82" s="111" t="s">
        <v>709</v>
      </c>
      <c r="M82" s="112"/>
      <c r="N82" s="112"/>
      <c r="O82" s="113"/>
      <c r="P82" s="3"/>
      <c r="Q82" s="3"/>
      <c r="R82" s="3"/>
      <c r="S82" s="3"/>
      <c r="T82" s="3"/>
      <c r="U82" s="3"/>
      <c r="V82" s="3"/>
    </row>
    <row r="83" spans="1:22" x14ac:dyDescent="0.15">
      <c r="A83" s="3"/>
      <c r="B83" s="623"/>
      <c r="C83" s="623"/>
      <c r="D83" s="276"/>
      <c r="E83" s="276"/>
      <c r="F83" s="276"/>
      <c r="G83" s="276"/>
      <c r="H83" s="276"/>
      <c r="I83" s="276"/>
      <c r="J83" s="276"/>
      <c r="K83" s="3"/>
      <c r="L83" s="3"/>
      <c r="M83" s="3"/>
      <c r="N83" s="3"/>
      <c r="O83" s="3"/>
      <c r="P83" s="3"/>
      <c r="Q83" s="3"/>
      <c r="R83" s="3"/>
      <c r="S83" s="3"/>
      <c r="T83" s="3"/>
      <c r="U83" s="3"/>
      <c r="V83" s="3"/>
    </row>
    <row r="84" spans="1:22" x14ac:dyDescent="0.15">
      <c r="A84" s="3"/>
      <c r="B84" s="623"/>
      <c r="C84" s="623"/>
      <c r="D84" s="276"/>
      <c r="E84" s="276"/>
      <c r="F84" s="276"/>
      <c r="G84" s="276"/>
      <c r="H84" s="276"/>
      <c r="I84" s="276" t="s">
        <v>512</v>
      </c>
      <c r="J84" s="276"/>
      <c r="K84" s="3"/>
      <c r="L84" s="3"/>
      <c r="M84" s="3"/>
      <c r="N84" s="3"/>
      <c r="O84" s="3"/>
      <c r="P84" s="3"/>
      <c r="Q84" s="3"/>
      <c r="R84" s="3"/>
      <c r="S84" s="3"/>
      <c r="T84" s="3"/>
      <c r="U84" s="3"/>
      <c r="V84" s="3"/>
    </row>
    <row r="85" spans="1:22" x14ac:dyDescent="0.15">
      <c r="A85" s="3"/>
      <c r="B85" s="622" t="s">
        <v>708</v>
      </c>
      <c r="C85" s="623"/>
      <c r="D85" s="276">
        <v>3</v>
      </c>
      <c r="E85" s="276"/>
      <c r="F85" s="276">
        <v>3</v>
      </c>
      <c r="G85" s="276"/>
      <c r="H85" s="276">
        <v>0</v>
      </c>
      <c r="I85" s="276"/>
      <c r="J85" s="276">
        <v>0</v>
      </c>
      <c r="K85" s="3"/>
      <c r="L85" s="3"/>
      <c r="M85" s="3"/>
      <c r="N85" s="3"/>
      <c r="O85" s="3"/>
      <c r="P85" s="3"/>
      <c r="Q85" s="3"/>
      <c r="R85" s="3"/>
      <c r="S85" s="3"/>
      <c r="T85" s="3"/>
      <c r="U85" s="3"/>
      <c r="V85" s="3"/>
    </row>
    <row r="86" spans="1:22" x14ac:dyDescent="0.15">
      <c r="A86" s="3"/>
      <c r="B86" s="623"/>
      <c r="C86" s="623"/>
      <c r="D86" s="276">
        <v>3</v>
      </c>
      <c r="E86" s="276"/>
      <c r="F86" s="276">
        <v>3</v>
      </c>
      <c r="G86" s="276"/>
      <c r="H86" s="276">
        <v>45</v>
      </c>
      <c r="I86" s="276"/>
      <c r="J86" s="276">
        <v>-0.86</v>
      </c>
      <c r="K86" s="3"/>
      <c r="L86" s="116" t="s">
        <v>716</v>
      </c>
      <c r="M86" s="117"/>
      <c r="N86" s="117"/>
      <c r="O86" s="118"/>
      <c r="P86" s="3"/>
      <c r="Q86" s="3"/>
      <c r="R86" s="3"/>
      <c r="S86" s="3"/>
      <c r="T86" s="3"/>
      <c r="U86" s="3"/>
      <c r="V86" s="3"/>
    </row>
    <row r="87" spans="1:22" x14ac:dyDescent="0.15">
      <c r="A87" s="3"/>
      <c r="B87" s="623"/>
      <c r="C87" s="623"/>
      <c r="D87" s="276">
        <v>3</v>
      </c>
      <c r="E87" s="276"/>
      <c r="F87" s="276">
        <v>3</v>
      </c>
      <c r="G87" s="276"/>
      <c r="H87" s="276">
        <v>90</v>
      </c>
      <c r="I87" s="276"/>
      <c r="J87" s="276">
        <v>-1.93</v>
      </c>
      <c r="K87" s="3"/>
      <c r="L87" s="3"/>
      <c r="M87" s="3"/>
      <c r="N87" s="3"/>
      <c r="O87" s="3"/>
      <c r="P87" s="3"/>
      <c r="Q87" s="3"/>
      <c r="R87" s="3"/>
      <c r="S87" s="3"/>
      <c r="T87" s="3"/>
      <c r="U87" s="3"/>
      <c r="V87" s="3"/>
    </row>
    <row r="88" spans="1:22" x14ac:dyDescent="0.15">
      <c r="A88" s="3"/>
      <c r="B88" s="623"/>
      <c r="C88" s="623"/>
      <c r="D88" s="625"/>
      <c r="E88" s="625"/>
      <c r="F88" s="625"/>
      <c r="G88" s="625"/>
      <c r="H88" s="625"/>
      <c r="I88" s="625"/>
      <c r="J88" s="625"/>
      <c r="K88" s="3"/>
      <c r="L88" s="3"/>
      <c r="M88" s="3"/>
      <c r="N88" s="3"/>
      <c r="O88" s="3"/>
      <c r="P88" s="3"/>
      <c r="Q88" s="3"/>
      <c r="R88" s="3"/>
      <c r="S88" s="3"/>
      <c r="T88" s="3"/>
      <c r="U88" s="3"/>
      <c r="V88" s="3"/>
    </row>
    <row r="89" spans="1:22" x14ac:dyDescent="0.15">
      <c r="A89" s="3"/>
      <c r="B89" s="623"/>
      <c r="C89" s="623"/>
      <c r="D89" s="625"/>
      <c r="E89" s="625"/>
      <c r="F89" s="625"/>
      <c r="G89" s="625"/>
      <c r="H89" s="625"/>
      <c r="I89" s="625"/>
      <c r="J89" s="625"/>
      <c r="K89" s="3"/>
      <c r="L89" s="3"/>
      <c r="M89" s="3"/>
      <c r="N89" s="3"/>
      <c r="O89" s="3"/>
      <c r="P89" s="3"/>
      <c r="Q89" s="3"/>
      <c r="R89" s="3"/>
      <c r="S89" s="3"/>
      <c r="T89" s="3"/>
      <c r="U89" s="3"/>
      <c r="V89" s="3"/>
    </row>
    <row r="90" spans="1:22" x14ac:dyDescent="0.15">
      <c r="A90" s="3"/>
      <c r="B90" s="623" t="s">
        <v>711</v>
      </c>
      <c r="C90" s="623"/>
      <c r="D90" s="276">
        <v>30</v>
      </c>
      <c r="E90" s="276"/>
      <c r="F90" s="276">
        <v>30</v>
      </c>
      <c r="G90" s="276"/>
      <c r="H90" s="276">
        <v>0</v>
      </c>
      <c r="I90" s="276"/>
      <c r="J90" s="276">
        <v>0</v>
      </c>
      <c r="K90" s="3"/>
      <c r="L90" s="3"/>
      <c r="M90" s="3"/>
      <c r="N90" s="3"/>
      <c r="O90" s="3"/>
      <c r="P90" s="3"/>
      <c r="Q90" s="3"/>
      <c r="R90" s="3"/>
      <c r="S90" s="3"/>
      <c r="T90" s="3"/>
      <c r="U90" s="3"/>
      <c r="V90" s="3"/>
    </row>
    <row r="91" spans="1:22" x14ac:dyDescent="0.15">
      <c r="A91" s="3"/>
      <c r="B91" s="623"/>
      <c r="C91" s="623"/>
      <c r="D91" s="276">
        <v>30</v>
      </c>
      <c r="E91" s="276"/>
      <c r="F91" s="276">
        <v>30</v>
      </c>
      <c r="G91" s="276"/>
      <c r="H91" s="276">
        <v>30</v>
      </c>
      <c r="I91" s="276"/>
      <c r="J91" s="276">
        <v>-1.25</v>
      </c>
      <c r="K91" s="3"/>
      <c r="L91" s="3"/>
      <c r="M91" s="3"/>
      <c r="N91" s="3"/>
      <c r="O91" s="3"/>
      <c r="P91" s="3"/>
      <c r="Q91" s="3"/>
      <c r="R91" s="3"/>
      <c r="S91" s="3"/>
      <c r="T91" s="3"/>
      <c r="U91" s="3"/>
      <c r="V91" s="3"/>
    </row>
    <row r="92" spans="1:22" x14ac:dyDescent="0.15">
      <c r="A92" s="3"/>
      <c r="B92" s="623"/>
      <c r="C92" s="623"/>
      <c r="D92" s="276">
        <v>30</v>
      </c>
      <c r="E92" s="276"/>
      <c r="F92" s="276">
        <v>30</v>
      </c>
      <c r="G92" s="276"/>
      <c r="H92" s="276">
        <v>45</v>
      </c>
      <c r="I92" s="276"/>
      <c r="J92" s="276">
        <v>-3.01</v>
      </c>
      <c r="K92" s="3"/>
      <c r="L92" s="3"/>
      <c r="M92" s="3"/>
      <c r="N92" s="3"/>
      <c r="O92" s="3"/>
      <c r="P92" s="3"/>
      <c r="Q92" s="3"/>
      <c r="R92" s="3"/>
      <c r="S92" s="3"/>
      <c r="T92" s="3"/>
      <c r="U92" s="3"/>
      <c r="V92" s="3"/>
    </row>
    <row r="93" spans="1:22" x14ac:dyDescent="0.15">
      <c r="A93" s="3"/>
      <c r="B93" s="623"/>
      <c r="C93" s="623"/>
      <c r="D93" s="276">
        <v>30</v>
      </c>
      <c r="E93" s="276"/>
      <c r="F93" s="276">
        <v>30</v>
      </c>
      <c r="G93" s="276"/>
      <c r="H93" s="276">
        <v>60</v>
      </c>
      <c r="I93" s="276"/>
      <c r="J93" s="276">
        <v>-6.02</v>
      </c>
      <c r="K93" s="3"/>
      <c r="L93" s="3"/>
      <c r="M93" s="3"/>
      <c r="N93" s="3"/>
      <c r="O93" s="3"/>
      <c r="P93" s="3"/>
      <c r="Q93" s="3"/>
      <c r="R93" s="3"/>
      <c r="S93" s="3"/>
      <c r="T93" s="3"/>
      <c r="U93" s="3"/>
      <c r="V93" s="3"/>
    </row>
    <row r="94" spans="1:22" x14ac:dyDescent="0.15">
      <c r="A94" s="3"/>
      <c r="B94" s="623"/>
      <c r="C94" s="623"/>
      <c r="D94" s="276">
        <v>30</v>
      </c>
      <c r="E94" s="276"/>
      <c r="F94" s="276">
        <v>30</v>
      </c>
      <c r="G94" s="276"/>
      <c r="H94" s="276">
        <v>90</v>
      </c>
      <c r="I94" s="276"/>
      <c r="J94" s="276">
        <v>-53.98</v>
      </c>
      <c r="K94" s="3"/>
      <c r="L94" s="3"/>
      <c r="M94" s="3"/>
      <c r="N94" s="3"/>
      <c r="O94" s="3"/>
      <c r="P94" s="3"/>
      <c r="Q94" s="3"/>
      <c r="R94" s="3"/>
      <c r="S94" s="3"/>
      <c r="T94" s="3"/>
      <c r="U94" s="3"/>
      <c r="V94" s="3"/>
    </row>
    <row r="95" spans="1:22" x14ac:dyDescent="0.15">
      <c r="A95" s="3"/>
      <c r="B95" s="623"/>
      <c r="C95" s="623"/>
      <c r="D95" s="276"/>
      <c r="E95" s="276"/>
      <c r="F95" s="276"/>
      <c r="G95" s="276"/>
      <c r="H95" s="276"/>
      <c r="I95" s="276"/>
      <c r="J95" s="276"/>
      <c r="K95" s="3"/>
      <c r="L95" s="3"/>
      <c r="M95" s="3"/>
      <c r="N95" s="3"/>
      <c r="O95" s="3"/>
      <c r="P95" s="3"/>
      <c r="Q95" s="3"/>
      <c r="R95" s="3"/>
      <c r="S95" s="3"/>
      <c r="T95" s="3"/>
      <c r="U95" s="3"/>
      <c r="V95" s="3"/>
    </row>
    <row r="96" spans="1:22" x14ac:dyDescent="0.15">
      <c r="A96" s="3"/>
      <c r="B96" s="622" t="s">
        <v>714</v>
      </c>
      <c r="C96" s="622"/>
      <c r="D96" s="276">
        <v>2</v>
      </c>
      <c r="E96" s="276"/>
      <c r="F96" s="276">
        <v>30</v>
      </c>
      <c r="G96" s="276"/>
      <c r="H96" s="276">
        <v>0</v>
      </c>
      <c r="I96" s="276"/>
      <c r="J96" s="276">
        <v>-1.45</v>
      </c>
      <c r="K96" s="3"/>
      <c r="L96" s="3" t="s">
        <v>512</v>
      </c>
      <c r="M96" s="3"/>
      <c r="N96" s="3"/>
      <c r="O96" s="3"/>
      <c r="P96" s="3"/>
      <c r="Q96" s="3"/>
      <c r="R96" s="3"/>
      <c r="S96" s="3"/>
      <c r="T96" s="3"/>
      <c r="U96" s="3"/>
      <c r="V96" s="3"/>
    </row>
    <row r="97" spans="1:22" x14ac:dyDescent="0.15">
      <c r="A97" s="3"/>
      <c r="B97" s="622" t="s">
        <v>715</v>
      </c>
      <c r="C97" s="622"/>
      <c r="D97" s="276">
        <v>2</v>
      </c>
      <c r="E97" s="276"/>
      <c r="F97" s="276">
        <v>30</v>
      </c>
      <c r="G97" s="276"/>
      <c r="H97" s="276">
        <v>45</v>
      </c>
      <c r="I97" s="276"/>
      <c r="J97" s="276">
        <v>-3</v>
      </c>
      <c r="K97" s="3"/>
      <c r="L97" s="116" t="s">
        <v>852</v>
      </c>
      <c r="M97" s="117"/>
      <c r="N97" s="117"/>
      <c r="O97" s="117"/>
      <c r="P97" s="118"/>
      <c r="Q97" s="3"/>
      <c r="R97" s="3"/>
      <c r="S97" s="3"/>
      <c r="T97" s="3"/>
      <c r="U97" s="3"/>
      <c r="V97" s="3"/>
    </row>
    <row r="98" spans="1:22" x14ac:dyDescent="0.15">
      <c r="A98" s="3"/>
      <c r="B98" s="622"/>
      <c r="C98" s="622"/>
      <c r="D98" s="276">
        <v>2</v>
      </c>
      <c r="E98" s="276"/>
      <c r="F98" s="276">
        <v>30</v>
      </c>
      <c r="G98" s="276"/>
      <c r="H98" s="276">
        <v>90</v>
      </c>
      <c r="I98" s="276"/>
      <c r="J98" s="276">
        <v>-3.98</v>
      </c>
      <c r="K98" s="3"/>
      <c r="L98" s="3"/>
      <c r="M98" s="3"/>
      <c r="N98" s="3"/>
      <c r="O98" s="3"/>
      <c r="P98" s="3"/>
      <c r="Q98" s="3"/>
      <c r="R98" s="3"/>
      <c r="S98" s="3"/>
      <c r="T98" s="3"/>
      <c r="U98" s="3"/>
      <c r="V98" s="3"/>
    </row>
    <row r="99" spans="1:22" x14ac:dyDescent="0.15">
      <c r="A99" s="3"/>
      <c r="B99" s="87"/>
      <c r="C99" s="87"/>
      <c r="D99" s="207"/>
      <c r="E99" s="207"/>
      <c r="F99" s="207"/>
      <c r="G99" s="207"/>
      <c r="H99" s="207"/>
      <c r="I99" s="207"/>
      <c r="J99" s="207"/>
      <c r="K99" s="3"/>
      <c r="L99" s="3"/>
      <c r="M99" s="3"/>
      <c r="N99" s="3"/>
      <c r="O99" s="3"/>
      <c r="P99" s="3"/>
      <c r="Q99" s="3"/>
      <c r="R99" s="3"/>
      <c r="S99" s="3"/>
      <c r="T99" s="3"/>
      <c r="U99" s="3"/>
      <c r="V99" s="3"/>
    </row>
    <row r="100" spans="1:22" x14ac:dyDescent="0.15">
      <c r="A100" s="3"/>
      <c r="B100" s="3"/>
      <c r="C100" s="3"/>
      <c r="D100" s="32"/>
      <c r="E100" s="32"/>
      <c r="F100" s="32"/>
      <c r="G100" s="32"/>
      <c r="H100" s="32"/>
      <c r="I100" s="32"/>
      <c r="J100" s="32"/>
      <c r="K100" s="3"/>
      <c r="L100" s="3"/>
      <c r="M100" s="3"/>
      <c r="N100" s="3"/>
      <c r="O100" s="3"/>
      <c r="P100" s="3"/>
      <c r="Q100" s="3"/>
      <c r="R100" s="3"/>
      <c r="S100" s="3"/>
      <c r="T100" s="3"/>
      <c r="U100" s="3"/>
      <c r="V100" s="3"/>
    </row>
    <row r="101" spans="1:22" x14ac:dyDescent="0.15">
      <c r="A101" s="3"/>
      <c r="B101" s="230"/>
      <c r="C101" s="3"/>
      <c r="D101" s="32"/>
      <c r="E101" s="32"/>
      <c r="F101" s="32"/>
      <c r="G101" s="32"/>
      <c r="H101" s="32"/>
      <c r="I101" s="32"/>
      <c r="J101" s="32"/>
      <c r="K101" s="3"/>
      <c r="L101" s="3"/>
      <c r="M101" s="3"/>
      <c r="N101" s="3"/>
      <c r="O101" s="3"/>
      <c r="P101" s="3"/>
      <c r="Q101" s="3"/>
      <c r="R101" s="3"/>
      <c r="S101" s="3"/>
      <c r="T101" s="3"/>
      <c r="U101" s="3"/>
      <c r="V101" s="3"/>
    </row>
    <row r="102" spans="1:22" x14ac:dyDescent="0.15">
      <c r="A102" s="3"/>
      <c r="B102" s="230"/>
      <c r="C102" s="3"/>
      <c r="D102" s="32"/>
      <c r="E102" s="32"/>
      <c r="F102" s="32"/>
      <c r="G102" s="32"/>
      <c r="H102" s="32"/>
      <c r="I102" s="32"/>
      <c r="J102" s="32"/>
      <c r="K102" s="3"/>
      <c r="L102" s="3"/>
      <c r="M102" s="3"/>
      <c r="N102" s="3"/>
      <c r="O102" s="3"/>
      <c r="P102" s="3"/>
      <c r="Q102" s="3"/>
      <c r="R102" s="3"/>
      <c r="S102" s="3"/>
      <c r="T102" s="3"/>
      <c r="U102" s="3"/>
      <c r="V102" s="3"/>
    </row>
    <row r="103" spans="1:22" x14ac:dyDescent="0.15">
      <c r="A103" s="3"/>
      <c r="B103" s="3"/>
      <c r="C103" s="3"/>
      <c r="D103" s="32"/>
      <c r="E103" s="32"/>
      <c r="F103" s="32"/>
      <c r="G103" s="32"/>
      <c r="H103" s="32"/>
      <c r="I103" s="32"/>
      <c r="J103" s="32"/>
      <c r="K103" s="3"/>
      <c r="L103" s="3"/>
      <c r="M103" s="3"/>
      <c r="N103" s="3"/>
      <c r="O103" s="3"/>
      <c r="P103" s="3"/>
      <c r="Q103" s="3"/>
      <c r="R103" s="3"/>
      <c r="S103" s="3"/>
      <c r="T103" s="3"/>
      <c r="U103" s="3"/>
      <c r="V103" s="3"/>
    </row>
    <row r="104" spans="1:22" x14ac:dyDescent="0.15">
      <c r="A104" s="3"/>
      <c r="B104" s="3"/>
      <c r="C104" s="3"/>
      <c r="D104" s="32"/>
      <c r="E104" s="32"/>
      <c r="F104" s="32"/>
      <c r="G104" s="32"/>
      <c r="H104" s="32"/>
      <c r="I104" s="32"/>
      <c r="J104" s="32"/>
      <c r="K104" s="3"/>
      <c r="L104" s="3"/>
      <c r="M104" s="3"/>
      <c r="N104" s="3"/>
      <c r="O104" s="3"/>
      <c r="P104" s="3"/>
      <c r="Q104" s="3"/>
      <c r="R104" s="3"/>
      <c r="S104" s="3"/>
      <c r="T104" s="3"/>
      <c r="U104" s="3"/>
      <c r="V104" s="3"/>
    </row>
    <row r="105" spans="1:22" x14ac:dyDescent="0.15">
      <c r="A105" s="3"/>
      <c r="B105" s="3"/>
      <c r="C105" s="3"/>
      <c r="D105" s="32"/>
      <c r="E105" s="32"/>
      <c r="F105" s="32"/>
      <c r="G105" s="32"/>
      <c r="H105" s="32"/>
      <c r="I105" s="32"/>
      <c r="J105" s="32"/>
      <c r="K105" s="3"/>
      <c r="L105" s="3"/>
      <c r="M105" s="3"/>
      <c r="N105" s="3"/>
      <c r="O105" s="3"/>
      <c r="P105" s="3"/>
      <c r="Q105" s="3"/>
      <c r="R105" s="3"/>
      <c r="S105" s="3"/>
      <c r="T105" s="3"/>
      <c r="U105" s="3"/>
      <c r="V105" s="3"/>
    </row>
    <row r="106" spans="1:22" x14ac:dyDescent="0.15">
      <c r="A106" s="3"/>
      <c r="B106" s="3"/>
      <c r="C106" s="3"/>
      <c r="D106" s="32"/>
      <c r="E106" s="32"/>
      <c r="F106" s="32"/>
      <c r="G106" s="32"/>
      <c r="H106" s="32"/>
      <c r="I106" s="32"/>
      <c r="J106" s="32"/>
      <c r="K106" s="3"/>
      <c r="L106" s="3"/>
      <c r="M106" s="3"/>
      <c r="N106" s="3"/>
      <c r="O106" s="3"/>
      <c r="P106" s="3"/>
      <c r="Q106" s="3"/>
      <c r="R106" s="3"/>
      <c r="S106" s="3"/>
      <c r="T106" s="3"/>
      <c r="U106" s="3"/>
      <c r="V106" s="3"/>
    </row>
    <row r="107" spans="1:22" x14ac:dyDescent="0.15">
      <c r="A107" s="3"/>
      <c r="B107" s="3"/>
      <c r="C107" s="3"/>
      <c r="D107" s="32"/>
      <c r="E107" s="32"/>
      <c r="F107" s="32"/>
      <c r="G107" s="32"/>
      <c r="H107" s="32"/>
      <c r="I107" s="32"/>
      <c r="J107" s="32"/>
      <c r="K107" s="3"/>
      <c r="L107" s="3"/>
      <c r="M107" s="3"/>
      <c r="N107" s="3"/>
      <c r="O107" s="3"/>
      <c r="P107" s="3"/>
      <c r="Q107" s="3"/>
      <c r="R107" s="3"/>
      <c r="S107" s="3"/>
      <c r="T107" s="3"/>
      <c r="U107" s="3"/>
      <c r="V107" s="3"/>
    </row>
    <row r="108" spans="1:22" x14ac:dyDescent="0.15">
      <c r="A108" s="3"/>
      <c r="B108" s="3"/>
      <c r="C108" s="3"/>
      <c r="D108" s="32"/>
      <c r="E108" s="32"/>
      <c r="F108" s="32"/>
      <c r="G108" s="32"/>
      <c r="H108" s="32"/>
      <c r="I108" s="32"/>
      <c r="J108" s="32"/>
      <c r="K108" s="3"/>
      <c r="L108" s="3"/>
      <c r="M108" s="3"/>
      <c r="N108" s="3"/>
      <c r="O108" s="3"/>
      <c r="P108" s="3"/>
      <c r="Q108" s="3"/>
      <c r="R108" s="3"/>
      <c r="S108" s="3"/>
      <c r="T108" s="3"/>
      <c r="U108" s="3"/>
      <c r="V108" s="3"/>
    </row>
    <row r="109" spans="1:22" x14ac:dyDescent="0.15">
      <c r="A109" s="3"/>
      <c r="B109" s="3"/>
      <c r="C109" s="3"/>
      <c r="D109" s="32"/>
      <c r="E109" s="32"/>
      <c r="F109" s="32"/>
      <c r="G109" s="32"/>
      <c r="H109" s="32"/>
      <c r="I109" s="32"/>
      <c r="J109" s="32"/>
      <c r="K109" s="3"/>
      <c r="L109" s="3"/>
      <c r="M109" s="3"/>
      <c r="N109" s="3"/>
      <c r="O109" s="3"/>
      <c r="P109" s="3"/>
      <c r="Q109" s="3"/>
      <c r="R109" s="3"/>
      <c r="S109" s="3"/>
      <c r="T109" s="3"/>
      <c r="U109" s="3"/>
      <c r="V109" s="3"/>
    </row>
    <row r="110" spans="1:22" x14ac:dyDescent="0.15">
      <c r="A110" s="3"/>
      <c r="B110" s="3"/>
      <c r="C110" s="3"/>
      <c r="D110" s="32"/>
      <c r="E110" s="32"/>
      <c r="F110" s="32"/>
      <c r="G110" s="32"/>
      <c r="H110" s="32"/>
      <c r="I110" s="32"/>
      <c r="J110" s="32"/>
      <c r="K110" s="3"/>
      <c r="L110" s="3"/>
      <c r="M110" s="3"/>
      <c r="N110" s="3"/>
      <c r="O110" s="3"/>
      <c r="P110" s="3"/>
      <c r="Q110" s="3"/>
      <c r="R110" s="3"/>
      <c r="S110" s="3"/>
      <c r="T110" s="3"/>
      <c r="U110" s="3"/>
      <c r="V110" s="3"/>
    </row>
    <row r="111" spans="1:22" x14ac:dyDescent="0.15">
      <c r="A111" s="3"/>
      <c r="B111" s="3"/>
      <c r="C111" s="3"/>
      <c r="D111" s="32"/>
      <c r="E111" s="32"/>
      <c r="F111" s="32"/>
      <c r="G111" s="32"/>
      <c r="H111" s="32"/>
      <c r="I111" s="32"/>
      <c r="J111" s="32"/>
      <c r="K111" s="3"/>
      <c r="L111" s="3"/>
      <c r="M111" s="3"/>
      <c r="N111" s="3"/>
      <c r="O111" s="3"/>
      <c r="P111" s="3"/>
      <c r="Q111" s="3"/>
      <c r="R111" s="3"/>
      <c r="S111" s="3"/>
      <c r="T111" s="3"/>
      <c r="U111" s="3"/>
      <c r="V111" s="3"/>
    </row>
    <row r="112" spans="1:22" x14ac:dyDescent="0.15">
      <c r="A112" s="3"/>
      <c r="B112" s="3"/>
      <c r="C112" s="3"/>
      <c r="D112" s="32"/>
      <c r="E112" s="32"/>
      <c r="F112" s="32"/>
      <c r="G112" s="32"/>
      <c r="H112" s="32"/>
      <c r="I112" s="32"/>
      <c r="J112" s="32"/>
      <c r="K112" s="3"/>
      <c r="L112" s="3"/>
      <c r="M112" s="3"/>
      <c r="N112" s="3"/>
      <c r="O112" s="3"/>
      <c r="P112" s="3"/>
      <c r="Q112" s="3"/>
      <c r="R112" s="3"/>
      <c r="S112" s="3"/>
      <c r="T112" s="3"/>
      <c r="U112" s="3"/>
      <c r="V112" s="3"/>
    </row>
    <row r="113" spans="1:22" x14ac:dyDescent="0.15">
      <c r="A113" s="3"/>
      <c r="B113" s="3"/>
      <c r="C113" s="3"/>
      <c r="D113" s="32"/>
      <c r="E113" s="32"/>
      <c r="F113" s="32"/>
      <c r="G113" s="32"/>
      <c r="H113" s="32"/>
      <c r="I113" s="32"/>
      <c r="J113" s="32"/>
      <c r="K113" s="3"/>
      <c r="L113" s="3"/>
      <c r="M113" s="3"/>
      <c r="N113" s="3"/>
      <c r="O113" s="3"/>
      <c r="P113" s="3"/>
      <c r="Q113" s="3"/>
      <c r="R113" s="3"/>
      <c r="S113" s="3"/>
      <c r="T113" s="3"/>
      <c r="U113" s="3"/>
      <c r="V113" s="3"/>
    </row>
    <row r="114" spans="1:22" x14ac:dyDescent="0.15">
      <c r="A114" s="3"/>
      <c r="B114" s="3"/>
      <c r="C114" s="3"/>
      <c r="D114" s="32"/>
      <c r="E114" s="32"/>
      <c r="F114" s="32"/>
      <c r="G114" s="32"/>
      <c r="H114" s="32"/>
      <c r="I114" s="32"/>
      <c r="J114" s="32"/>
      <c r="K114" s="3"/>
      <c r="L114" s="3"/>
      <c r="M114" s="3"/>
      <c r="N114" s="3"/>
      <c r="O114" s="3"/>
      <c r="P114" s="3"/>
      <c r="Q114" s="3"/>
      <c r="R114" s="3"/>
      <c r="S114" s="3"/>
      <c r="T114" s="3"/>
      <c r="U114" s="3"/>
      <c r="V114" s="3"/>
    </row>
    <row r="115" spans="1:22" x14ac:dyDescent="0.15">
      <c r="D115" s="19"/>
      <c r="E115" s="19"/>
      <c r="F115" s="19"/>
      <c r="G115" s="19"/>
      <c r="H115" s="19"/>
      <c r="I115" s="19"/>
      <c r="J115" s="19"/>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13"/>
  </sheetPr>
  <dimension ref="A1:T86"/>
  <sheetViews>
    <sheetView topLeftCell="A17" zoomScaleNormal="100" workbookViewId="0">
      <selection activeCell="M1" sqref="M1"/>
    </sheetView>
  </sheetViews>
  <sheetFormatPr baseColWidth="10" defaultColWidth="10.6640625" defaultRowHeight="13" x14ac:dyDescent="0.15"/>
  <cols>
    <col min="1" max="1" width="8.6640625" customWidth="1"/>
    <col min="2" max="2" width="10.33203125" customWidth="1"/>
    <col min="3" max="256" width="8.83203125" customWidth="1"/>
  </cols>
  <sheetData>
    <row r="1" spans="1:20" ht="19" thickBot="1" x14ac:dyDescent="0.25">
      <c r="A1" s="119" t="s">
        <v>726</v>
      </c>
      <c r="B1" s="121"/>
      <c r="C1" s="121"/>
      <c r="D1" s="121"/>
      <c r="E1" s="121"/>
      <c r="F1" s="121"/>
      <c r="G1" s="121"/>
      <c r="H1" s="677" t="str">
        <f>'Title Page'!F3</f>
        <v>3UCubed</v>
      </c>
      <c r="I1" s="121"/>
      <c r="J1" s="121"/>
      <c r="K1" s="121"/>
      <c r="L1" s="121"/>
      <c r="M1" s="905">
        <f ca="1">'Title Page'!F23</f>
        <v>45769</v>
      </c>
      <c r="N1" s="121"/>
      <c r="O1" s="121"/>
      <c r="P1" s="121"/>
      <c r="Q1" s="121"/>
      <c r="R1" s="121"/>
      <c r="S1" s="121"/>
      <c r="T1" s="121"/>
    </row>
    <row r="2" spans="1:20" x14ac:dyDescent="0.15">
      <c r="A2" s="82"/>
      <c r="B2" s="82"/>
      <c r="C2" s="82"/>
      <c r="D2" s="82"/>
      <c r="E2" s="82"/>
      <c r="F2" s="82"/>
      <c r="G2" s="82"/>
      <c r="H2" s="82"/>
      <c r="I2" s="82"/>
      <c r="J2" s="82"/>
      <c r="K2" s="82"/>
      <c r="L2" s="82"/>
      <c r="M2" s="82"/>
      <c r="N2" s="82"/>
      <c r="O2" s="82"/>
      <c r="P2" s="82"/>
      <c r="Q2" s="82"/>
    </row>
    <row r="3" spans="1:20" x14ac:dyDescent="0.15">
      <c r="A3" s="82"/>
      <c r="B3" s="422" t="s">
        <v>735</v>
      </c>
      <c r="C3" s="423"/>
      <c r="D3" s="423"/>
      <c r="E3" s="424"/>
      <c r="F3" s="82"/>
      <c r="G3" s="82"/>
      <c r="H3" s="249" t="s">
        <v>6</v>
      </c>
      <c r="I3" s="249"/>
      <c r="J3" s="249"/>
      <c r="K3" s="249"/>
      <c r="L3" s="249"/>
      <c r="M3" s="249"/>
      <c r="N3" s="249"/>
      <c r="O3" s="249"/>
      <c r="P3" s="82"/>
      <c r="Q3" s="82"/>
    </row>
    <row r="4" spans="1:20" x14ac:dyDescent="0.15">
      <c r="A4" s="82"/>
      <c r="B4" s="645" t="s">
        <v>1055</v>
      </c>
      <c r="C4" s="646"/>
      <c r="D4" s="3"/>
      <c r="E4" s="236"/>
      <c r="F4" s="82"/>
      <c r="G4" s="82"/>
      <c r="H4" s="82"/>
      <c r="I4" s="82"/>
      <c r="J4" s="82"/>
      <c r="K4" s="82"/>
      <c r="L4" s="82"/>
      <c r="M4" s="82"/>
      <c r="N4" s="82"/>
      <c r="O4" s="82"/>
      <c r="P4" s="82"/>
      <c r="Q4" s="82"/>
    </row>
    <row r="5" spans="1:20" x14ac:dyDescent="0.15">
      <c r="A5" s="82"/>
      <c r="B5" s="647" t="s">
        <v>727</v>
      </c>
      <c r="C5" s="648"/>
      <c r="D5" s="649" t="s">
        <v>728</v>
      </c>
      <c r="E5" s="650" t="s">
        <v>515</v>
      </c>
      <c r="F5" s="82"/>
      <c r="G5" s="82"/>
      <c r="H5" s="82"/>
      <c r="I5" s="82"/>
      <c r="J5" s="82"/>
      <c r="K5" s="82"/>
      <c r="L5" s="82"/>
      <c r="M5" s="82"/>
      <c r="N5" s="82"/>
      <c r="O5" s="82"/>
      <c r="P5" s="82"/>
      <c r="Q5" s="82"/>
    </row>
    <row r="6" spans="1:20" x14ac:dyDescent="0.15">
      <c r="A6" s="82"/>
      <c r="B6" s="418">
        <v>0</v>
      </c>
      <c r="C6" s="3" t="s">
        <v>729</v>
      </c>
      <c r="D6" s="32">
        <v>10.199999999999999</v>
      </c>
      <c r="E6" s="236" t="s">
        <v>554</v>
      </c>
      <c r="F6" s="82"/>
      <c r="G6" s="82" t="s">
        <v>730</v>
      </c>
      <c r="H6" s="82"/>
      <c r="I6" s="82"/>
      <c r="J6" s="82"/>
      <c r="K6" s="82"/>
      <c r="L6" s="82"/>
      <c r="M6" s="82"/>
      <c r="N6" s="82"/>
      <c r="O6" s="82"/>
      <c r="P6" s="82"/>
      <c r="Q6" s="82"/>
    </row>
    <row r="7" spans="1:20" x14ac:dyDescent="0.15">
      <c r="A7" s="82"/>
      <c r="B7" s="418"/>
      <c r="C7" s="3"/>
      <c r="D7" s="32"/>
      <c r="E7" s="236"/>
      <c r="F7" s="82"/>
      <c r="G7" s="82" t="s">
        <v>731</v>
      </c>
      <c r="H7" s="82"/>
      <c r="I7" s="82"/>
      <c r="J7" s="82"/>
      <c r="K7" s="82"/>
      <c r="L7" s="82"/>
      <c r="M7" s="82"/>
      <c r="N7" s="82"/>
      <c r="O7" s="82"/>
      <c r="P7" s="82"/>
      <c r="Q7" s="82"/>
    </row>
    <row r="8" spans="1:20" x14ac:dyDescent="0.15">
      <c r="A8" s="82"/>
      <c r="B8" s="418">
        <v>2.5</v>
      </c>
      <c r="C8" s="3" t="s">
        <v>729</v>
      </c>
      <c r="D8" s="32">
        <v>4.5999999999999996</v>
      </c>
      <c r="E8" s="236" t="s">
        <v>554</v>
      </c>
      <c r="F8" s="82"/>
      <c r="G8" s="82" t="s">
        <v>760</v>
      </c>
      <c r="H8" s="82"/>
      <c r="I8" s="82"/>
      <c r="J8" s="82"/>
      <c r="K8" s="82"/>
      <c r="L8" s="82"/>
      <c r="M8" s="82"/>
      <c r="N8" s="82"/>
      <c r="O8" s="82"/>
      <c r="P8" s="82"/>
      <c r="Q8" s="82"/>
    </row>
    <row r="9" spans="1:20" x14ac:dyDescent="0.15">
      <c r="A9" s="82"/>
      <c r="B9" s="418"/>
      <c r="C9" s="3"/>
      <c r="D9" s="32"/>
      <c r="E9" s="236"/>
      <c r="F9" s="82"/>
      <c r="G9" s="82" t="s">
        <v>732</v>
      </c>
      <c r="H9" s="82"/>
      <c r="I9" s="82"/>
      <c r="J9" s="82"/>
      <c r="K9" s="82"/>
      <c r="L9" s="82"/>
      <c r="M9" s="82"/>
      <c r="N9" s="82"/>
      <c r="O9" s="82"/>
      <c r="P9" s="82"/>
      <c r="Q9" s="82"/>
    </row>
    <row r="10" spans="1:20" x14ac:dyDescent="0.15">
      <c r="A10" s="82"/>
      <c r="B10" s="418">
        <v>5</v>
      </c>
      <c r="C10" s="3" t="s">
        <v>729</v>
      </c>
      <c r="D10" s="32">
        <v>2.1</v>
      </c>
      <c r="E10" s="236" t="s">
        <v>554</v>
      </c>
      <c r="F10" s="82"/>
      <c r="G10" s="82" t="s">
        <v>733</v>
      </c>
      <c r="H10" s="82"/>
      <c r="I10" s="82"/>
      <c r="J10" s="82"/>
      <c r="K10" s="82"/>
      <c r="L10" s="82"/>
      <c r="M10" s="82"/>
      <c r="N10" s="82"/>
      <c r="O10" s="82"/>
      <c r="P10" s="82"/>
      <c r="Q10" s="82"/>
    </row>
    <row r="11" spans="1:20" x14ac:dyDescent="0.15">
      <c r="A11" s="82"/>
      <c r="B11" s="418"/>
      <c r="C11" s="3"/>
      <c r="D11" s="32"/>
      <c r="E11" s="236"/>
      <c r="F11" s="82"/>
      <c r="G11" s="82"/>
      <c r="H11" s="82"/>
      <c r="I11" s="82"/>
      <c r="J11" s="82"/>
      <c r="K11" s="82"/>
      <c r="L11" s="82"/>
      <c r="M11" s="82"/>
      <c r="N11" s="82"/>
      <c r="O11" s="82"/>
      <c r="P11" s="82"/>
      <c r="Q11" s="82"/>
    </row>
    <row r="12" spans="1:20" x14ac:dyDescent="0.15">
      <c r="A12" s="82"/>
      <c r="B12" s="418">
        <v>10</v>
      </c>
      <c r="C12" s="3" t="s">
        <v>729</v>
      </c>
      <c r="D12" s="32">
        <v>1.1000000000000001</v>
      </c>
      <c r="E12" s="236" t="s">
        <v>554</v>
      </c>
      <c r="F12" s="82"/>
      <c r="G12" s="82" t="s">
        <v>734</v>
      </c>
      <c r="H12" s="82"/>
      <c r="I12" s="82"/>
      <c r="J12" s="82"/>
      <c r="K12" s="82"/>
      <c r="L12" s="82"/>
      <c r="M12" s="82"/>
      <c r="N12" s="82"/>
      <c r="O12" s="82"/>
      <c r="P12" s="82"/>
      <c r="Q12" s="82"/>
    </row>
    <row r="13" spans="1:20" x14ac:dyDescent="0.15">
      <c r="A13" s="82"/>
      <c r="B13" s="418"/>
      <c r="C13" s="3"/>
      <c r="D13" s="32"/>
      <c r="E13" s="236"/>
      <c r="F13" s="82"/>
      <c r="G13" s="82" t="s">
        <v>74</v>
      </c>
      <c r="H13" s="82"/>
      <c r="I13" s="82"/>
      <c r="J13" s="82"/>
      <c r="K13" s="82"/>
      <c r="L13" s="82"/>
      <c r="M13" s="82"/>
      <c r="N13" s="82"/>
      <c r="O13" s="82"/>
      <c r="P13" s="82"/>
      <c r="Q13" s="82"/>
    </row>
    <row r="14" spans="1:20" x14ac:dyDescent="0.15">
      <c r="A14" s="82"/>
      <c r="B14" s="418">
        <v>30</v>
      </c>
      <c r="C14" s="3" t="s">
        <v>729</v>
      </c>
      <c r="D14" s="32">
        <v>0.4</v>
      </c>
      <c r="E14" s="236" t="s">
        <v>554</v>
      </c>
      <c r="F14" s="82"/>
      <c r="G14" s="82" t="s">
        <v>12</v>
      </c>
      <c r="H14" s="82"/>
      <c r="I14" s="82"/>
      <c r="J14" s="82"/>
      <c r="K14" s="82"/>
      <c r="L14" s="82"/>
      <c r="M14" s="82"/>
      <c r="N14" s="82"/>
      <c r="O14" s="82"/>
      <c r="P14" s="82"/>
      <c r="Q14" s="82"/>
    </row>
    <row r="15" spans="1:20" x14ac:dyDescent="0.15">
      <c r="A15" s="82"/>
      <c r="B15" s="418"/>
      <c r="C15" s="3"/>
      <c r="D15" s="32"/>
      <c r="E15" s="236"/>
      <c r="F15" s="82"/>
      <c r="G15" s="82"/>
      <c r="H15" s="82"/>
      <c r="I15" s="82"/>
      <c r="J15" s="82"/>
      <c r="K15" s="82"/>
      <c r="L15" s="82"/>
      <c r="M15" s="82"/>
      <c r="N15" s="82"/>
      <c r="O15" s="82"/>
      <c r="P15" s="82"/>
      <c r="Q15" s="82"/>
    </row>
    <row r="16" spans="1:20" x14ac:dyDescent="0.15">
      <c r="A16" s="82"/>
      <c r="B16" s="418">
        <v>45</v>
      </c>
      <c r="C16" s="3" t="s">
        <v>729</v>
      </c>
      <c r="D16" s="32">
        <v>0.3</v>
      </c>
      <c r="E16" s="236" t="s">
        <v>554</v>
      </c>
      <c r="F16" s="82"/>
      <c r="G16" s="82" t="s">
        <v>761</v>
      </c>
      <c r="H16" s="82"/>
      <c r="I16" s="82"/>
      <c r="J16" s="82"/>
      <c r="K16" s="82"/>
      <c r="L16" s="82"/>
      <c r="M16" s="82"/>
      <c r="N16" s="82"/>
      <c r="O16" s="82"/>
      <c r="P16" s="82"/>
      <c r="Q16" s="82"/>
    </row>
    <row r="17" spans="1:17" x14ac:dyDescent="0.15">
      <c r="A17" s="82"/>
      <c r="B17" s="418"/>
      <c r="C17" s="3"/>
      <c r="D17" s="32"/>
      <c r="E17" s="236"/>
      <c r="F17" s="82"/>
      <c r="G17" s="82" t="s">
        <v>744</v>
      </c>
      <c r="H17" s="82"/>
      <c r="I17" s="82"/>
      <c r="J17" s="82"/>
      <c r="K17" s="82"/>
      <c r="L17" s="82"/>
      <c r="M17" s="82"/>
      <c r="N17" s="82"/>
      <c r="O17" s="82"/>
      <c r="P17" s="82"/>
      <c r="Q17" s="82"/>
    </row>
    <row r="18" spans="1:17" x14ac:dyDescent="0.15">
      <c r="A18" s="82"/>
      <c r="B18" s="418">
        <v>90</v>
      </c>
      <c r="C18" s="3" t="s">
        <v>729</v>
      </c>
      <c r="D18" s="34">
        <v>0</v>
      </c>
      <c r="E18" s="236" t="s">
        <v>554</v>
      </c>
      <c r="F18" s="82"/>
      <c r="G18" s="82"/>
      <c r="H18" s="82"/>
      <c r="I18" s="82"/>
      <c r="J18" s="82"/>
      <c r="K18" s="82"/>
      <c r="L18" s="82"/>
      <c r="M18" s="82"/>
      <c r="N18" s="82"/>
      <c r="O18" s="82"/>
      <c r="P18" s="82"/>
      <c r="Q18" s="82"/>
    </row>
    <row r="19" spans="1:17" x14ac:dyDescent="0.15">
      <c r="A19" s="82"/>
      <c r="B19" s="418"/>
      <c r="C19" s="3"/>
      <c r="D19" s="3"/>
      <c r="E19" s="236"/>
      <c r="F19" s="82"/>
      <c r="G19" s="82" t="s">
        <v>741</v>
      </c>
      <c r="H19" s="82"/>
      <c r="I19" s="82"/>
      <c r="J19" s="82"/>
      <c r="K19" s="82"/>
      <c r="L19" s="82"/>
      <c r="M19" s="82"/>
      <c r="N19" s="82"/>
      <c r="O19" s="82"/>
      <c r="P19" s="82"/>
      <c r="Q19" s="82"/>
    </row>
    <row r="20" spans="1:17" ht="14" thickBot="1" x14ac:dyDescent="0.2">
      <c r="A20" s="82"/>
      <c r="B20" s="418"/>
      <c r="C20" s="3"/>
      <c r="D20" s="3"/>
      <c r="E20" s="236"/>
      <c r="F20" s="82"/>
      <c r="G20" s="82" t="s">
        <v>742</v>
      </c>
      <c r="H20" s="82"/>
      <c r="I20" s="82"/>
      <c r="J20" s="82"/>
      <c r="K20" s="82"/>
      <c r="L20" s="82"/>
      <c r="M20" s="82"/>
      <c r="N20" s="82"/>
      <c r="O20" s="82"/>
      <c r="P20" s="82"/>
      <c r="Q20" s="82"/>
    </row>
    <row r="21" spans="1:17" ht="14" thickBot="1" x14ac:dyDescent="0.2">
      <c r="A21" s="82"/>
      <c r="B21" s="418" t="s">
        <v>736</v>
      </c>
      <c r="C21" s="3"/>
      <c r="D21" s="893">
        <v>20</v>
      </c>
      <c r="E21" s="3" t="s">
        <v>737</v>
      </c>
      <c r="F21" s="892" t="s">
        <v>868</v>
      </c>
      <c r="G21" s="82"/>
      <c r="H21" s="82"/>
      <c r="I21" s="82"/>
      <c r="J21" s="82"/>
      <c r="K21" s="82"/>
      <c r="L21" s="82"/>
      <c r="M21" s="82"/>
      <c r="N21" s="82"/>
      <c r="O21" s="82"/>
      <c r="P21" s="82"/>
      <c r="Q21" s="82"/>
    </row>
    <row r="22" spans="1:17" x14ac:dyDescent="0.15">
      <c r="A22" s="82"/>
      <c r="B22" s="418"/>
      <c r="C22" s="3"/>
      <c r="D22" s="3"/>
      <c r="E22" s="236"/>
      <c r="F22" s="82"/>
      <c r="G22" s="82" t="s">
        <v>899</v>
      </c>
      <c r="H22" s="82"/>
      <c r="I22" s="82"/>
      <c r="J22" s="82"/>
      <c r="K22" s="82"/>
      <c r="L22" s="82"/>
      <c r="M22" s="82"/>
      <c r="N22" s="82"/>
      <c r="O22" s="82"/>
      <c r="P22" s="82"/>
      <c r="Q22" s="82"/>
    </row>
    <row r="23" spans="1:17" x14ac:dyDescent="0.15">
      <c r="A23" s="82"/>
      <c r="B23" s="418" t="s">
        <v>738</v>
      </c>
      <c r="C23" s="3"/>
      <c r="D23" s="126">
        <f>IF(D21&lt;B8,4.6,INDEX(D6:D18,MATCH(D21,B6:B18,1),1))</f>
        <v>1.1000000000000001</v>
      </c>
      <c r="E23" s="236" t="s">
        <v>554</v>
      </c>
      <c r="F23" s="82"/>
      <c r="G23" s="82" t="s">
        <v>900</v>
      </c>
      <c r="H23" s="82"/>
      <c r="I23" s="82"/>
      <c r="J23" s="82"/>
      <c r="K23" s="82"/>
      <c r="L23" s="82"/>
      <c r="M23" s="82"/>
      <c r="N23" s="82"/>
      <c r="O23" s="82"/>
      <c r="P23" s="82"/>
      <c r="Q23" s="82"/>
    </row>
    <row r="24" spans="1:17" x14ac:dyDescent="0.15">
      <c r="A24" s="82"/>
      <c r="B24" s="111"/>
      <c r="C24" s="112"/>
      <c r="D24" s="112"/>
      <c r="E24" s="113"/>
      <c r="F24" s="82"/>
      <c r="G24" s="85"/>
      <c r="H24" s="85"/>
      <c r="I24" s="85"/>
      <c r="J24" s="85"/>
      <c r="K24" s="85"/>
      <c r="L24" s="85"/>
      <c r="M24" s="85"/>
      <c r="N24" s="85"/>
      <c r="O24" s="85"/>
      <c r="P24" s="85"/>
      <c r="Q24" s="82"/>
    </row>
    <row r="25" spans="1:17" x14ac:dyDescent="0.15">
      <c r="A25" s="82"/>
      <c r="B25" s="82"/>
      <c r="C25" s="82"/>
      <c r="D25" s="82"/>
      <c r="E25" s="82"/>
      <c r="F25" s="82"/>
      <c r="G25" s="82"/>
      <c r="H25" s="82"/>
      <c r="I25" s="82"/>
      <c r="J25" s="82"/>
      <c r="K25" s="82"/>
      <c r="L25" s="82"/>
      <c r="M25" s="82"/>
      <c r="N25" s="82"/>
      <c r="O25" s="82"/>
      <c r="P25" s="82"/>
      <c r="Q25" s="82"/>
    </row>
    <row r="26" spans="1:17" x14ac:dyDescent="0.15">
      <c r="A26" s="82"/>
      <c r="B26" s="82"/>
      <c r="C26" s="82"/>
      <c r="D26" s="82"/>
      <c r="E26" s="82"/>
      <c r="F26" s="82"/>
      <c r="G26" s="82"/>
      <c r="H26" s="249" t="s">
        <v>7</v>
      </c>
      <c r="I26" s="82"/>
      <c r="J26" s="82"/>
      <c r="K26" s="82"/>
      <c r="L26" s="82"/>
      <c r="M26" s="82"/>
      <c r="N26" s="82"/>
      <c r="O26" s="82"/>
      <c r="P26" s="82"/>
      <c r="Q26" s="82"/>
    </row>
    <row r="27" spans="1:17" x14ac:dyDescent="0.15">
      <c r="A27" s="82"/>
      <c r="B27" s="82"/>
      <c r="C27" s="82"/>
      <c r="D27" s="82" t="s">
        <v>512</v>
      </c>
      <c r="E27" s="82"/>
      <c r="F27" s="82"/>
      <c r="G27" s="82"/>
      <c r="H27" s="82"/>
      <c r="I27" s="82"/>
      <c r="J27" s="82"/>
      <c r="K27" s="82"/>
      <c r="L27" s="82"/>
      <c r="M27" s="82"/>
      <c r="N27" s="82"/>
      <c r="O27" s="82"/>
      <c r="P27" s="82"/>
      <c r="Q27" s="82"/>
    </row>
    <row r="28" spans="1:17" x14ac:dyDescent="0.15">
      <c r="A28" s="82"/>
      <c r="B28" s="422" t="s">
        <v>743</v>
      </c>
      <c r="C28" s="425"/>
      <c r="D28" s="425"/>
      <c r="E28" s="424"/>
      <c r="F28" s="82"/>
      <c r="G28" s="82" t="s">
        <v>876</v>
      </c>
      <c r="H28" s="82"/>
      <c r="I28" s="82"/>
      <c r="J28" s="82"/>
      <c r="K28" s="82"/>
      <c r="L28" s="82"/>
      <c r="M28" s="82"/>
      <c r="N28" s="82"/>
      <c r="O28" s="82"/>
      <c r="P28" s="82"/>
      <c r="Q28" s="82"/>
    </row>
    <row r="29" spans="1:17" x14ac:dyDescent="0.15">
      <c r="A29" s="82"/>
      <c r="B29" s="654" t="s">
        <v>555</v>
      </c>
      <c r="C29" s="3" t="s">
        <v>4</v>
      </c>
      <c r="D29" s="3"/>
      <c r="E29" s="651">
        <f>'Uplink Budget'!B17</f>
        <v>0.4</v>
      </c>
      <c r="F29" s="82"/>
      <c r="G29" s="232" t="s">
        <v>745</v>
      </c>
      <c r="H29" s="82"/>
      <c r="I29" s="82"/>
      <c r="J29" s="82"/>
      <c r="K29" s="82"/>
      <c r="L29" s="82"/>
      <c r="M29" s="82"/>
      <c r="N29" s="82"/>
      <c r="O29" s="82"/>
      <c r="P29" s="82"/>
      <c r="Q29" s="82"/>
    </row>
    <row r="30" spans="1:17" x14ac:dyDescent="0.15">
      <c r="A30" s="82"/>
      <c r="B30" s="653" t="s">
        <v>550</v>
      </c>
      <c r="C30" s="649" t="s">
        <v>515</v>
      </c>
      <c r="D30" s="649" t="s">
        <v>728</v>
      </c>
      <c r="E30" s="650" t="s">
        <v>515</v>
      </c>
      <c r="F30" s="82"/>
      <c r="G30" s="82" t="s">
        <v>746</v>
      </c>
      <c r="H30" s="82"/>
      <c r="I30" s="82"/>
      <c r="J30" s="82"/>
      <c r="K30" s="82"/>
      <c r="L30" s="82"/>
      <c r="M30" s="82"/>
      <c r="N30" s="82"/>
      <c r="O30" s="82"/>
      <c r="P30" s="82"/>
      <c r="Q30" s="82"/>
    </row>
    <row r="31" spans="1:17" x14ac:dyDescent="0.15">
      <c r="A31" s="82"/>
      <c r="B31" s="418"/>
      <c r="C31" s="3"/>
      <c r="D31" s="3"/>
      <c r="E31" s="236"/>
      <c r="F31" s="82"/>
      <c r="G31" s="82" t="s">
        <v>750</v>
      </c>
      <c r="H31" s="82"/>
      <c r="I31" s="82"/>
      <c r="J31" s="82"/>
      <c r="K31" s="82"/>
      <c r="L31" s="82"/>
      <c r="M31" s="82"/>
      <c r="N31" s="82"/>
      <c r="O31" s="82"/>
      <c r="P31" s="82"/>
      <c r="Q31" s="82"/>
    </row>
    <row r="32" spans="1:17" x14ac:dyDescent="0.15">
      <c r="A32" s="82"/>
      <c r="B32" s="116">
        <v>146</v>
      </c>
      <c r="C32" s="117" t="s">
        <v>551</v>
      </c>
      <c r="D32" s="417">
        <v>0.7</v>
      </c>
      <c r="E32" s="118" t="s">
        <v>554</v>
      </c>
      <c r="F32" s="82"/>
      <c r="G32" s="82" t="s">
        <v>751</v>
      </c>
      <c r="H32" s="82"/>
      <c r="I32" s="82"/>
      <c r="J32" s="82"/>
      <c r="K32" s="82"/>
      <c r="L32" s="82"/>
      <c r="M32" s="82"/>
      <c r="N32" s="82"/>
      <c r="O32" s="82"/>
      <c r="P32" s="82"/>
      <c r="Q32" s="82"/>
    </row>
    <row r="33" spans="1:17" x14ac:dyDescent="0.15">
      <c r="A33" s="82"/>
      <c r="B33" s="116">
        <v>438</v>
      </c>
      <c r="C33" s="117" t="s">
        <v>551</v>
      </c>
      <c r="D33" s="417">
        <v>0.4</v>
      </c>
      <c r="E33" s="118" t="s">
        <v>554</v>
      </c>
      <c r="F33" s="82"/>
      <c r="G33" s="82"/>
      <c r="H33" s="82"/>
      <c r="I33" s="82"/>
      <c r="J33" s="82"/>
      <c r="K33" s="82"/>
      <c r="L33" s="82"/>
      <c r="M33" s="82"/>
      <c r="N33" s="82"/>
      <c r="O33" s="82"/>
      <c r="P33" s="82"/>
      <c r="Q33" s="82"/>
    </row>
    <row r="34" spans="1:17" ht="14" thickBot="1" x14ac:dyDescent="0.2">
      <c r="A34" s="82"/>
      <c r="B34" s="116">
        <v>2410</v>
      </c>
      <c r="C34" s="117" t="s">
        <v>551</v>
      </c>
      <c r="D34" s="890">
        <v>0.1</v>
      </c>
      <c r="E34" s="118" t="s">
        <v>554</v>
      </c>
      <c r="F34" s="82"/>
      <c r="G34" s="82" t="s">
        <v>954</v>
      </c>
      <c r="H34" s="82"/>
      <c r="I34" s="82"/>
      <c r="J34" s="82"/>
      <c r="K34" s="82"/>
      <c r="L34" s="82"/>
      <c r="M34" s="82"/>
      <c r="N34" s="82"/>
      <c r="O34" s="82"/>
      <c r="P34" s="82"/>
      <c r="Q34" s="82"/>
    </row>
    <row r="35" spans="1:17" ht="14" thickBot="1" x14ac:dyDescent="0.2">
      <c r="A35" s="82"/>
      <c r="B35" s="427">
        <v>437.5</v>
      </c>
      <c r="C35" s="428" t="s">
        <v>551</v>
      </c>
      <c r="D35" s="891">
        <v>0.4</v>
      </c>
      <c r="E35" s="118" t="s">
        <v>554</v>
      </c>
      <c r="F35" s="82"/>
      <c r="G35" s="82" t="s">
        <v>955</v>
      </c>
      <c r="H35" s="82"/>
      <c r="I35" s="82"/>
      <c r="J35" s="82"/>
      <c r="K35" s="82"/>
      <c r="L35" s="82"/>
      <c r="M35" s="82"/>
      <c r="N35" s="82"/>
      <c r="O35" s="82"/>
      <c r="P35" s="82"/>
      <c r="Q35" s="82"/>
    </row>
    <row r="36" spans="1:17" x14ac:dyDescent="0.15">
      <c r="A36" s="82"/>
      <c r="B36" s="111"/>
      <c r="C36" s="112"/>
      <c r="D36" s="112"/>
      <c r="E36" s="113"/>
      <c r="F36" s="82"/>
      <c r="G36" s="82" t="s">
        <v>752</v>
      </c>
      <c r="H36" s="82"/>
      <c r="I36" s="82"/>
      <c r="J36" s="82"/>
      <c r="K36" s="82"/>
      <c r="L36" s="82"/>
      <c r="M36" s="82"/>
      <c r="N36" s="82"/>
      <c r="O36" s="82"/>
      <c r="P36" s="82"/>
      <c r="Q36" s="82"/>
    </row>
    <row r="37" spans="1:17" x14ac:dyDescent="0.15">
      <c r="A37" s="82"/>
      <c r="B37" s="82"/>
      <c r="C37" s="82"/>
      <c r="D37" s="82"/>
      <c r="E37" s="82"/>
      <c r="F37" s="82"/>
      <c r="G37" s="82" t="s">
        <v>877</v>
      </c>
      <c r="H37" s="82"/>
      <c r="I37" s="82"/>
      <c r="J37" s="82"/>
      <c r="K37" s="82"/>
      <c r="L37" s="82"/>
      <c r="M37" s="82"/>
      <c r="N37" s="82"/>
      <c r="O37" s="82"/>
      <c r="P37" s="82"/>
      <c r="Q37" s="82"/>
    </row>
    <row r="38" spans="1:17" x14ac:dyDescent="0.15">
      <c r="A38" s="82"/>
      <c r="B38" s="244" t="s">
        <v>13</v>
      </c>
      <c r="C38" s="82"/>
      <c r="D38" s="82"/>
      <c r="E38" s="82"/>
      <c r="F38" s="82"/>
      <c r="G38" s="82" t="s">
        <v>753</v>
      </c>
      <c r="H38" s="82"/>
      <c r="I38" s="82"/>
      <c r="J38" s="82"/>
      <c r="K38" s="82"/>
      <c r="L38" s="82"/>
      <c r="M38" s="82"/>
      <c r="N38" s="82"/>
      <c r="O38" s="82"/>
      <c r="P38" s="82"/>
      <c r="Q38" s="82"/>
    </row>
    <row r="39" spans="1:17" x14ac:dyDescent="0.15">
      <c r="A39" s="82"/>
      <c r="B39" s="82"/>
      <c r="C39" s="82"/>
      <c r="D39" s="82"/>
      <c r="E39" s="82"/>
      <c r="F39" s="82"/>
      <c r="G39" s="82"/>
      <c r="H39" s="82"/>
      <c r="I39" s="82"/>
      <c r="J39" s="82"/>
      <c r="K39" s="82"/>
      <c r="L39" s="82"/>
      <c r="M39" s="82"/>
      <c r="N39" s="82"/>
      <c r="O39" s="82"/>
      <c r="P39" s="82"/>
      <c r="Q39" s="82"/>
    </row>
    <row r="40" spans="1:17" x14ac:dyDescent="0.15">
      <c r="A40" s="82"/>
      <c r="B40" s="82"/>
      <c r="C40" s="82"/>
      <c r="D40" s="82"/>
      <c r="E40" s="82"/>
      <c r="F40" s="82"/>
      <c r="G40" s="82" t="s">
        <v>1022</v>
      </c>
      <c r="H40" s="82"/>
      <c r="I40" s="82"/>
      <c r="J40" s="82"/>
      <c r="K40" s="82"/>
      <c r="L40" s="82"/>
      <c r="M40" s="82"/>
      <c r="N40" s="82"/>
      <c r="O40" s="82"/>
      <c r="P40" s="82"/>
      <c r="Q40" s="82"/>
    </row>
    <row r="41" spans="1:17" x14ac:dyDescent="0.15">
      <c r="A41" s="82"/>
      <c r="B41" s="422" t="s">
        <v>743</v>
      </c>
      <c r="C41" s="425"/>
      <c r="D41" s="425"/>
      <c r="E41" s="424"/>
      <c r="F41" s="82"/>
      <c r="G41" s="82" t="s">
        <v>758</v>
      </c>
      <c r="H41" s="82"/>
      <c r="I41" s="82"/>
      <c r="J41" s="82"/>
      <c r="K41" s="82"/>
      <c r="L41" s="82"/>
      <c r="M41" s="82"/>
      <c r="N41" s="82"/>
      <c r="O41" s="82"/>
      <c r="P41" s="82"/>
      <c r="Q41" s="82"/>
    </row>
    <row r="42" spans="1:17" x14ac:dyDescent="0.15">
      <c r="A42" s="82"/>
      <c r="B42" s="416" t="s">
        <v>556</v>
      </c>
      <c r="C42" s="3" t="s">
        <v>2</v>
      </c>
      <c r="D42" s="3"/>
      <c r="E42" s="426">
        <f>'Downlink Budget'!B17</f>
        <v>0.4</v>
      </c>
      <c r="F42" s="82"/>
      <c r="G42" s="82" t="s">
        <v>757</v>
      </c>
      <c r="H42" s="82"/>
      <c r="I42" s="82"/>
      <c r="J42" s="82"/>
      <c r="K42" s="82"/>
      <c r="L42" s="82"/>
      <c r="M42" s="82"/>
      <c r="N42" s="82"/>
      <c r="O42" s="82"/>
      <c r="P42" s="82"/>
      <c r="Q42" s="82"/>
    </row>
    <row r="43" spans="1:17" x14ac:dyDescent="0.15">
      <c r="A43" s="82"/>
      <c r="B43" s="127" t="s">
        <v>550</v>
      </c>
      <c r="C43" s="124" t="s">
        <v>515</v>
      </c>
      <c r="D43" s="124" t="s">
        <v>728</v>
      </c>
      <c r="E43" s="125" t="s">
        <v>515</v>
      </c>
      <c r="F43" s="82"/>
      <c r="G43" s="82" t="s">
        <v>759</v>
      </c>
      <c r="H43" s="82"/>
      <c r="I43" s="82"/>
      <c r="J43" s="82"/>
      <c r="K43" s="82"/>
      <c r="L43" s="82"/>
      <c r="M43" s="82"/>
      <c r="N43" s="82"/>
      <c r="O43" s="82"/>
      <c r="P43" s="82"/>
      <c r="Q43" s="82"/>
    </row>
    <row r="44" spans="1:17" x14ac:dyDescent="0.15">
      <c r="A44" s="82"/>
      <c r="B44" s="418"/>
      <c r="C44" s="3"/>
      <c r="D44" s="3"/>
      <c r="E44" s="236"/>
      <c r="F44" s="82"/>
      <c r="G44" s="82"/>
      <c r="H44" s="82"/>
      <c r="I44" s="82"/>
      <c r="J44" s="82"/>
      <c r="K44" s="82"/>
      <c r="L44" s="82"/>
      <c r="M44" s="82"/>
      <c r="N44" s="82"/>
      <c r="O44" s="82"/>
      <c r="P44" s="82"/>
      <c r="Q44" s="82"/>
    </row>
    <row r="45" spans="1:17" x14ac:dyDescent="0.15">
      <c r="A45" s="82"/>
      <c r="B45" s="116">
        <v>146</v>
      </c>
      <c r="C45" s="117" t="s">
        <v>551</v>
      </c>
      <c r="D45" s="419">
        <v>0.7</v>
      </c>
      <c r="E45" s="118" t="s">
        <v>554</v>
      </c>
      <c r="F45" s="82"/>
      <c r="G45" s="82" t="s">
        <v>1</v>
      </c>
      <c r="H45" s="82"/>
      <c r="I45" s="82"/>
      <c r="J45" s="82"/>
      <c r="K45" s="82"/>
      <c r="L45" s="82"/>
      <c r="M45" s="82"/>
      <c r="N45" s="82"/>
      <c r="O45" s="82"/>
      <c r="P45" s="82"/>
      <c r="Q45" s="82"/>
    </row>
    <row r="46" spans="1:17" x14ac:dyDescent="0.15">
      <c r="A46" s="82"/>
      <c r="B46" s="116">
        <v>438</v>
      </c>
      <c r="C46" s="117" t="s">
        <v>551</v>
      </c>
      <c r="D46" s="419">
        <v>0.4</v>
      </c>
      <c r="E46" s="118" t="s">
        <v>554</v>
      </c>
      <c r="F46" s="82"/>
      <c r="G46" s="82" t="s">
        <v>75</v>
      </c>
      <c r="H46" s="82"/>
      <c r="I46" s="82"/>
      <c r="J46" s="82"/>
      <c r="K46" s="82"/>
      <c r="L46" s="82"/>
      <c r="M46" s="82"/>
      <c r="N46" s="82"/>
      <c r="O46" s="82"/>
      <c r="P46" s="82"/>
      <c r="Q46" s="82"/>
    </row>
    <row r="47" spans="1:17" x14ac:dyDescent="0.15">
      <c r="A47" s="82"/>
      <c r="B47" s="116">
        <v>2410</v>
      </c>
      <c r="C47" s="117" t="s">
        <v>551</v>
      </c>
      <c r="D47" s="419">
        <v>0.1</v>
      </c>
      <c r="E47" s="118" t="s">
        <v>554</v>
      </c>
      <c r="F47" s="82"/>
      <c r="G47" s="82" t="s">
        <v>3</v>
      </c>
      <c r="H47" s="82"/>
      <c r="I47" s="82"/>
      <c r="J47" s="82"/>
      <c r="K47" s="82"/>
      <c r="L47" s="82"/>
      <c r="M47" s="82"/>
      <c r="N47" s="82"/>
      <c r="O47" s="82"/>
      <c r="P47" s="82"/>
      <c r="Q47" s="82"/>
    </row>
    <row r="48" spans="1:17" x14ac:dyDescent="0.15">
      <c r="A48" s="82"/>
      <c r="B48" s="427">
        <v>437.04500000000002</v>
      </c>
      <c r="C48" s="428" t="s">
        <v>551</v>
      </c>
      <c r="D48" s="420">
        <v>0.4</v>
      </c>
      <c r="E48" s="118" t="s">
        <v>554</v>
      </c>
      <c r="F48" s="82"/>
      <c r="G48" s="82" t="s">
        <v>5</v>
      </c>
      <c r="H48" s="82"/>
      <c r="I48" s="82"/>
      <c r="J48" s="82"/>
      <c r="K48" s="82"/>
      <c r="L48" s="82"/>
      <c r="M48" s="82"/>
      <c r="N48" s="82"/>
      <c r="O48" s="82"/>
      <c r="P48" s="82"/>
      <c r="Q48" s="82"/>
    </row>
    <row r="49" spans="1:18" x14ac:dyDescent="0.15">
      <c r="A49" s="82"/>
      <c r="B49" s="116"/>
      <c r="C49" s="117"/>
      <c r="D49" s="117"/>
      <c r="E49" s="118"/>
      <c r="F49" s="82"/>
      <c r="G49" s="82"/>
      <c r="H49" s="82" t="s">
        <v>512</v>
      </c>
      <c r="I49" s="82"/>
      <c r="J49" s="82"/>
      <c r="K49" s="82"/>
      <c r="L49" s="82"/>
      <c r="M49" s="82"/>
      <c r="N49" s="82"/>
      <c r="O49" s="82"/>
      <c r="P49" s="82"/>
      <c r="Q49" s="82"/>
    </row>
    <row r="50" spans="1:18" x14ac:dyDescent="0.15">
      <c r="A50" s="82"/>
      <c r="B50" s="82"/>
      <c r="C50" s="82"/>
      <c r="D50" s="82"/>
      <c r="E50" s="82"/>
      <c r="F50" s="82"/>
      <c r="G50" s="82"/>
      <c r="H50" s="244"/>
      <c r="I50" s="82"/>
      <c r="J50" s="82"/>
      <c r="K50" s="82"/>
      <c r="L50" s="82"/>
      <c r="M50" s="82"/>
      <c r="N50" s="82"/>
      <c r="O50" s="82"/>
      <c r="P50" s="82"/>
      <c r="Q50" s="82"/>
    </row>
    <row r="51" spans="1:18" x14ac:dyDescent="0.15">
      <c r="A51" s="82"/>
      <c r="B51" s="244" t="s">
        <v>13</v>
      </c>
      <c r="C51" s="82"/>
      <c r="D51" s="82"/>
      <c r="E51" s="82"/>
      <c r="F51" s="82"/>
      <c r="G51" s="82" t="s">
        <v>392</v>
      </c>
      <c r="H51" s="82"/>
      <c r="I51" s="82"/>
      <c r="J51" s="82"/>
      <c r="K51" s="82"/>
      <c r="L51" s="82"/>
      <c r="M51" s="82"/>
      <c r="N51" s="82"/>
      <c r="O51" s="82"/>
      <c r="P51" s="82"/>
      <c r="Q51" s="82"/>
    </row>
    <row r="52" spans="1:18" x14ac:dyDescent="0.15">
      <c r="A52" s="82"/>
      <c r="B52" s="82" t="s">
        <v>393</v>
      </c>
      <c r="C52" s="82"/>
      <c r="D52" s="82"/>
      <c r="E52" s="82"/>
      <c r="F52" s="82"/>
      <c r="G52" s="82"/>
      <c r="H52" s="82"/>
      <c r="I52" s="82"/>
      <c r="J52" s="82"/>
      <c r="K52" s="82"/>
      <c r="L52" s="82"/>
      <c r="M52" s="82"/>
      <c r="N52" s="82"/>
      <c r="O52" s="82"/>
      <c r="P52" s="82"/>
      <c r="Q52" s="82"/>
      <c r="R52" s="82"/>
    </row>
    <row r="53" spans="1:18" x14ac:dyDescent="0.15">
      <c r="A53" s="82"/>
      <c r="B53" s="82" t="s">
        <v>394</v>
      </c>
      <c r="C53" s="82"/>
      <c r="D53" s="82"/>
      <c r="E53" s="82"/>
      <c r="F53" s="82"/>
      <c r="G53" s="82"/>
      <c r="H53" s="82"/>
      <c r="I53" s="82"/>
      <c r="J53" s="82"/>
      <c r="K53" s="82"/>
      <c r="L53" s="82"/>
      <c r="M53" s="82"/>
      <c r="N53" s="82"/>
      <c r="O53" s="82"/>
      <c r="P53" s="82"/>
      <c r="Q53" s="82"/>
      <c r="R53" s="82"/>
    </row>
    <row r="54" spans="1:18" x14ac:dyDescent="0.15">
      <c r="A54" s="82"/>
      <c r="B54" s="82" t="s">
        <v>395</v>
      </c>
      <c r="C54" s="82"/>
      <c r="D54" s="82"/>
      <c r="E54" s="82"/>
      <c r="F54" s="82"/>
      <c r="G54" s="82"/>
      <c r="H54" s="82"/>
      <c r="I54" s="82"/>
      <c r="J54" s="82"/>
      <c r="K54" s="82"/>
      <c r="L54" s="82"/>
      <c r="M54" s="82"/>
      <c r="N54" s="82"/>
      <c r="O54" s="82"/>
      <c r="P54" s="82"/>
      <c r="Q54" s="82"/>
      <c r="R54" s="82"/>
    </row>
    <row r="55" spans="1:18" x14ac:dyDescent="0.15">
      <c r="A55" s="82"/>
      <c r="B55" s="82" t="s">
        <v>396</v>
      </c>
      <c r="C55" s="82"/>
      <c r="D55" s="82"/>
      <c r="E55" s="82"/>
      <c r="F55" s="82"/>
      <c r="G55" s="82"/>
      <c r="H55" s="82"/>
      <c r="I55" s="82"/>
      <c r="J55" s="82"/>
      <c r="K55" s="82"/>
      <c r="L55" s="82"/>
      <c r="M55" s="82"/>
      <c r="N55" s="82"/>
      <c r="O55" s="82"/>
      <c r="P55" s="82"/>
      <c r="Q55" s="82"/>
      <c r="R55" s="82"/>
    </row>
    <row r="56" spans="1:18" x14ac:dyDescent="0.15">
      <c r="A56" s="82"/>
      <c r="B56" s="82"/>
      <c r="C56" s="82"/>
      <c r="D56" s="82"/>
      <c r="E56" s="82"/>
      <c r="F56" s="82"/>
      <c r="G56" s="82"/>
      <c r="H56" s="82"/>
      <c r="I56" s="82"/>
      <c r="J56" s="82"/>
      <c r="K56" s="82"/>
      <c r="L56" s="82"/>
      <c r="M56" s="82"/>
      <c r="N56" s="82"/>
      <c r="O56" s="82"/>
      <c r="P56" s="82"/>
      <c r="Q56" s="82"/>
      <c r="R56" s="82"/>
    </row>
    <row r="57" spans="1:18" x14ac:dyDescent="0.15">
      <c r="A57" s="82"/>
      <c r="B57" s="82"/>
      <c r="C57" s="82"/>
      <c r="D57" s="82"/>
      <c r="E57" s="82"/>
      <c r="F57" s="82"/>
      <c r="G57" s="82"/>
      <c r="H57" s="82"/>
      <c r="I57" s="82"/>
      <c r="J57" s="82"/>
      <c r="K57" s="82"/>
      <c r="L57" s="82"/>
      <c r="M57" s="82"/>
      <c r="N57" s="82"/>
      <c r="O57" s="82"/>
      <c r="P57" s="82"/>
      <c r="Q57" s="82"/>
      <c r="R57" s="82"/>
    </row>
    <row r="58" spans="1:18" x14ac:dyDescent="0.15">
      <c r="A58" s="82"/>
      <c r="B58" s="82"/>
      <c r="C58" s="82"/>
      <c r="D58" s="82"/>
      <c r="E58" s="82"/>
      <c r="F58" s="82"/>
      <c r="G58" s="82"/>
      <c r="H58" s="82"/>
      <c r="I58" s="82"/>
      <c r="J58" s="82"/>
      <c r="K58" s="82"/>
      <c r="L58" s="82"/>
      <c r="M58" s="82"/>
      <c r="N58" s="82"/>
      <c r="O58" s="82"/>
      <c r="P58" s="82"/>
      <c r="Q58" s="82"/>
      <c r="R58" s="82"/>
    </row>
    <row r="59" spans="1:18" x14ac:dyDescent="0.15">
      <c r="A59" s="82"/>
      <c r="B59" s="82"/>
      <c r="C59" s="82"/>
      <c r="D59" s="82"/>
      <c r="E59" s="82"/>
      <c r="F59" s="82"/>
      <c r="G59" s="82"/>
      <c r="H59" s="82"/>
      <c r="I59" s="82"/>
      <c r="J59" s="82"/>
      <c r="K59" s="82"/>
      <c r="L59" s="82"/>
      <c r="M59" s="82"/>
      <c r="N59" s="82"/>
      <c r="O59" s="82"/>
      <c r="P59" s="82"/>
      <c r="Q59" s="82"/>
      <c r="R59" s="82"/>
    </row>
    <row r="60" spans="1:18" x14ac:dyDescent="0.15">
      <c r="A60" s="82"/>
      <c r="B60" s="82"/>
      <c r="C60" s="82"/>
      <c r="D60" s="82"/>
      <c r="E60" s="82"/>
      <c r="F60" s="82"/>
      <c r="G60" s="82"/>
      <c r="H60" s="82"/>
      <c r="I60" s="82"/>
      <c r="J60" s="82"/>
      <c r="K60" s="82"/>
      <c r="L60" s="82"/>
      <c r="M60" s="82"/>
      <c r="N60" s="82"/>
      <c r="O60" s="82"/>
      <c r="P60" s="82"/>
      <c r="Q60" s="82"/>
      <c r="R60" s="82"/>
    </row>
    <row r="61" spans="1:18" x14ac:dyDescent="0.15">
      <c r="A61" s="82"/>
      <c r="B61" s="82"/>
      <c r="C61" s="82"/>
      <c r="D61" s="82"/>
      <c r="E61" s="82"/>
      <c r="F61" s="82"/>
      <c r="G61" s="82"/>
      <c r="H61" s="82"/>
      <c r="I61" s="82"/>
      <c r="J61" s="82"/>
      <c r="K61" s="82"/>
      <c r="L61" s="82"/>
      <c r="M61" s="82"/>
      <c r="N61" s="82"/>
      <c r="O61" s="82"/>
      <c r="P61" s="82"/>
      <c r="Q61" s="82"/>
      <c r="R61" s="82"/>
    </row>
    <row r="62" spans="1:18" x14ac:dyDescent="0.15">
      <c r="A62" s="82"/>
      <c r="B62" s="82"/>
      <c r="C62" s="82"/>
      <c r="D62" s="82"/>
      <c r="E62" s="82"/>
      <c r="F62" s="82"/>
      <c r="G62" s="82"/>
      <c r="H62" s="82"/>
      <c r="I62" s="82"/>
      <c r="J62" s="82"/>
      <c r="K62" s="82"/>
      <c r="L62" s="82"/>
      <c r="M62" s="82"/>
      <c r="N62" s="82"/>
      <c r="O62" s="82"/>
      <c r="P62" s="82"/>
      <c r="Q62" s="82"/>
      <c r="R62" s="82"/>
    </row>
    <row r="63" spans="1:18" x14ac:dyDescent="0.15">
      <c r="A63" s="82"/>
      <c r="B63" s="82"/>
      <c r="C63" s="82"/>
      <c r="D63" s="82"/>
      <c r="E63" s="82"/>
      <c r="F63" s="82"/>
      <c r="G63" s="82"/>
      <c r="H63" s="82"/>
      <c r="I63" s="82"/>
      <c r="J63" s="82"/>
      <c r="K63" s="82"/>
      <c r="L63" s="82"/>
      <c r="M63" s="82"/>
      <c r="N63" s="82"/>
      <c r="O63" s="82"/>
      <c r="P63" s="82"/>
      <c r="Q63" s="82"/>
      <c r="R63" s="82"/>
    </row>
    <row r="64" spans="1:18" x14ac:dyDescent="0.15">
      <c r="A64" s="82"/>
      <c r="B64" s="82"/>
      <c r="C64" s="82"/>
      <c r="D64" s="82"/>
      <c r="E64" s="82"/>
      <c r="F64" s="82"/>
      <c r="G64" s="82"/>
      <c r="H64" s="82"/>
      <c r="I64" s="82"/>
      <c r="J64" s="82"/>
      <c r="K64" s="82"/>
      <c r="L64" s="82"/>
      <c r="M64" s="82"/>
      <c r="N64" s="82"/>
      <c r="O64" s="82"/>
      <c r="P64" s="82"/>
      <c r="Q64" s="82"/>
      <c r="R64" s="82"/>
    </row>
    <row r="65" spans="1:18" x14ac:dyDescent="0.15">
      <c r="A65" s="82"/>
      <c r="B65" s="82"/>
      <c r="C65" s="82"/>
      <c r="D65" s="82"/>
      <c r="E65" s="82"/>
      <c r="F65" s="82"/>
      <c r="G65" s="82"/>
      <c r="H65" s="82"/>
      <c r="I65" s="82"/>
      <c r="J65" s="82"/>
      <c r="K65" s="82"/>
      <c r="L65" s="82"/>
      <c r="M65" s="82"/>
      <c r="N65" s="82"/>
      <c r="O65" s="82"/>
      <c r="P65" s="82"/>
      <c r="Q65" s="82"/>
      <c r="R65" s="82"/>
    </row>
    <row r="66" spans="1:18" x14ac:dyDescent="0.15">
      <c r="A66" s="82"/>
      <c r="B66" s="82"/>
      <c r="C66" s="82"/>
      <c r="D66" s="82"/>
      <c r="E66" s="82"/>
      <c r="F66" s="82"/>
      <c r="G66" s="82"/>
      <c r="H66" s="82"/>
      <c r="I66" s="82"/>
      <c r="J66" s="82"/>
      <c r="K66" s="82"/>
      <c r="L66" s="82"/>
      <c r="M66" s="82"/>
      <c r="N66" s="82"/>
      <c r="O66" s="82"/>
      <c r="P66" s="82"/>
      <c r="Q66" s="82"/>
      <c r="R66" s="82"/>
    </row>
    <row r="67" spans="1:18" x14ac:dyDescent="0.15">
      <c r="A67" s="82"/>
      <c r="B67" s="82"/>
      <c r="C67" s="82"/>
      <c r="D67" s="82"/>
      <c r="E67" s="82"/>
      <c r="F67" s="82"/>
      <c r="G67" s="82"/>
      <c r="H67" s="82"/>
      <c r="I67" s="82"/>
      <c r="J67" s="82"/>
      <c r="K67" s="82"/>
      <c r="L67" s="82"/>
      <c r="M67" s="82"/>
      <c r="N67" s="82"/>
      <c r="O67" s="82"/>
      <c r="P67" s="82"/>
      <c r="Q67" s="82"/>
      <c r="R67" s="82"/>
    </row>
    <row r="68" spans="1:18" x14ac:dyDescent="0.15">
      <c r="A68" s="82"/>
      <c r="B68" s="82"/>
      <c r="C68" s="82"/>
      <c r="D68" s="82"/>
      <c r="E68" s="82"/>
      <c r="F68" s="82"/>
      <c r="G68" s="82"/>
      <c r="H68" s="82"/>
      <c r="I68" s="82"/>
      <c r="J68" s="82"/>
      <c r="K68" s="82"/>
      <c r="L68" s="82"/>
      <c r="M68" s="82"/>
      <c r="N68" s="82"/>
      <c r="O68" s="82"/>
      <c r="P68" s="82"/>
      <c r="Q68" s="82"/>
      <c r="R68" s="82"/>
    </row>
    <row r="69" spans="1:18" x14ac:dyDescent="0.15">
      <c r="A69" s="82"/>
      <c r="B69" s="82"/>
      <c r="C69" s="82"/>
      <c r="D69" s="82"/>
      <c r="E69" s="82"/>
      <c r="F69" s="82"/>
      <c r="G69" s="82"/>
      <c r="H69" s="82"/>
      <c r="I69" s="82"/>
      <c r="J69" s="82"/>
      <c r="K69" s="82"/>
      <c r="L69" s="82"/>
      <c r="M69" s="82"/>
      <c r="N69" s="82"/>
      <c r="O69" s="82"/>
      <c r="P69" s="82"/>
      <c r="Q69" s="82"/>
      <c r="R69" s="82"/>
    </row>
    <row r="70" spans="1:18" x14ac:dyDescent="0.15">
      <c r="A70" s="82"/>
      <c r="B70" s="82"/>
      <c r="C70" s="82"/>
      <c r="D70" s="82"/>
      <c r="E70" s="82"/>
      <c r="F70" s="82"/>
      <c r="G70" s="82"/>
      <c r="H70" s="82"/>
      <c r="I70" s="82"/>
      <c r="J70" s="82"/>
      <c r="K70" s="82"/>
      <c r="L70" s="82"/>
      <c r="M70" s="82"/>
      <c r="N70" s="82"/>
      <c r="O70" s="82"/>
      <c r="P70" s="82"/>
      <c r="Q70" s="82"/>
      <c r="R70" s="82"/>
    </row>
    <row r="71" spans="1:18" x14ac:dyDescent="0.15">
      <c r="A71" s="82"/>
      <c r="B71" s="82"/>
      <c r="C71" s="82"/>
      <c r="D71" s="82"/>
      <c r="E71" s="82"/>
      <c r="F71" s="82"/>
      <c r="G71" s="82"/>
      <c r="H71" s="82"/>
      <c r="I71" s="82"/>
      <c r="J71" s="82"/>
      <c r="K71" s="82"/>
      <c r="L71" s="82"/>
      <c r="M71" s="82"/>
      <c r="N71" s="82"/>
      <c r="O71" s="82"/>
      <c r="P71" s="82"/>
      <c r="Q71" s="82"/>
      <c r="R71" s="82"/>
    </row>
    <row r="72" spans="1:18" x14ac:dyDescent="0.15">
      <c r="A72" s="82"/>
      <c r="B72" s="82"/>
      <c r="C72" s="82"/>
      <c r="D72" s="82"/>
      <c r="E72" s="82"/>
      <c r="F72" s="82"/>
      <c r="G72" s="82"/>
      <c r="H72" s="82"/>
      <c r="I72" s="82"/>
      <c r="J72" s="82"/>
      <c r="K72" s="82"/>
      <c r="L72" s="82"/>
      <c r="M72" s="82"/>
      <c r="N72" s="82"/>
      <c r="O72" s="82"/>
      <c r="P72" s="82"/>
      <c r="Q72" s="82"/>
      <c r="R72" s="82"/>
    </row>
    <row r="73" spans="1:18" x14ac:dyDescent="0.15">
      <c r="A73" s="82"/>
      <c r="B73" s="82"/>
      <c r="C73" s="82"/>
      <c r="D73" s="82"/>
      <c r="E73" s="82"/>
      <c r="F73" s="82"/>
      <c r="G73" s="82"/>
      <c r="H73" s="82"/>
      <c r="I73" s="82"/>
      <c r="J73" s="82"/>
      <c r="K73" s="82"/>
      <c r="L73" s="82"/>
      <c r="M73" s="82"/>
      <c r="N73" s="82"/>
      <c r="O73" s="82"/>
      <c r="P73" s="82"/>
      <c r="Q73" s="82"/>
      <c r="R73" s="82"/>
    </row>
    <row r="74" spans="1:18" x14ac:dyDescent="0.15">
      <c r="A74" s="82"/>
      <c r="B74" s="82"/>
      <c r="C74" s="82"/>
      <c r="D74" s="82"/>
      <c r="E74" s="82"/>
      <c r="F74" s="82"/>
      <c r="G74" s="82"/>
      <c r="H74" s="82"/>
      <c r="I74" s="82"/>
      <c r="J74" s="82"/>
      <c r="K74" s="82"/>
      <c r="L74" s="82"/>
      <c r="M74" s="82"/>
      <c r="N74" s="82"/>
      <c r="O74" s="82"/>
      <c r="P74" s="82"/>
      <c r="Q74" s="82"/>
      <c r="R74" s="82"/>
    </row>
    <row r="75" spans="1:18" x14ac:dyDescent="0.15">
      <c r="A75" s="82"/>
      <c r="B75" s="82"/>
      <c r="C75" s="82"/>
      <c r="D75" s="82"/>
      <c r="E75" s="82"/>
      <c r="F75" s="82"/>
      <c r="G75" s="82"/>
      <c r="H75" s="82"/>
      <c r="I75" s="82"/>
      <c r="J75" s="82"/>
      <c r="K75" s="82"/>
      <c r="L75" s="82"/>
      <c r="M75" s="82"/>
      <c r="N75" s="82"/>
      <c r="O75" s="82"/>
      <c r="P75" s="82"/>
      <c r="Q75" s="82"/>
      <c r="R75" s="82"/>
    </row>
    <row r="76" spans="1:18" x14ac:dyDescent="0.15">
      <c r="A76" s="82"/>
      <c r="B76" s="82"/>
      <c r="C76" s="82"/>
      <c r="D76" s="82"/>
      <c r="E76" s="82"/>
      <c r="F76" s="82"/>
      <c r="G76" s="82"/>
      <c r="H76" s="82"/>
      <c r="I76" s="82"/>
      <c r="J76" s="82"/>
      <c r="K76" s="82"/>
      <c r="L76" s="82"/>
      <c r="M76" s="82"/>
      <c r="N76" s="82"/>
      <c r="O76" s="82"/>
      <c r="P76" s="82"/>
      <c r="Q76" s="82"/>
      <c r="R76" s="82"/>
    </row>
    <row r="77" spans="1:18" x14ac:dyDescent="0.15">
      <c r="A77" s="82"/>
      <c r="B77" s="82"/>
      <c r="C77" s="82"/>
      <c r="D77" s="82"/>
      <c r="E77" s="82"/>
      <c r="F77" s="82"/>
      <c r="G77" s="82"/>
      <c r="H77" s="82"/>
      <c r="I77" s="82"/>
      <c r="J77" s="82"/>
      <c r="K77" s="82"/>
      <c r="L77" s="82"/>
      <c r="M77" s="82"/>
      <c r="N77" s="82"/>
      <c r="O77" s="82"/>
      <c r="P77" s="82"/>
      <c r="Q77" s="82"/>
      <c r="R77" s="82"/>
    </row>
    <row r="78" spans="1:18" x14ac:dyDescent="0.15">
      <c r="A78" s="82"/>
      <c r="B78" s="82"/>
      <c r="C78" s="82"/>
      <c r="D78" s="82"/>
      <c r="E78" s="82"/>
      <c r="F78" s="82"/>
      <c r="G78" s="82"/>
      <c r="H78" s="82"/>
      <c r="I78" s="82"/>
      <c r="J78" s="82"/>
      <c r="K78" s="82"/>
      <c r="L78" s="82"/>
      <c r="M78" s="82"/>
      <c r="N78" s="82"/>
      <c r="O78" s="82"/>
      <c r="P78" s="82"/>
      <c r="Q78" s="82"/>
      <c r="R78" s="82"/>
    </row>
    <row r="79" spans="1:18" x14ac:dyDescent="0.15">
      <c r="A79" s="82"/>
      <c r="B79" s="82"/>
      <c r="C79" s="82"/>
      <c r="D79" s="82"/>
      <c r="E79" s="82"/>
      <c r="F79" s="82"/>
      <c r="G79" s="82"/>
      <c r="H79" s="82"/>
      <c r="I79" s="82"/>
      <c r="J79" s="82"/>
      <c r="K79" s="82"/>
      <c r="L79" s="82"/>
      <c r="M79" s="82"/>
      <c r="N79" s="82"/>
      <c r="O79" s="82"/>
      <c r="P79" s="82"/>
      <c r="Q79" s="82"/>
      <c r="R79" s="82"/>
    </row>
    <row r="80" spans="1:18" x14ac:dyDescent="0.15">
      <c r="A80" s="82"/>
      <c r="B80" s="82"/>
      <c r="C80" s="82"/>
      <c r="D80" s="82"/>
      <c r="E80" s="82"/>
      <c r="F80" s="82"/>
      <c r="G80" s="82"/>
      <c r="H80" s="82"/>
      <c r="I80" s="82"/>
      <c r="J80" s="82"/>
      <c r="K80" s="82"/>
      <c r="L80" s="82"/>
      <c r="M80" s="82"/>
      <c r="N80" s="82"/>
      <c r="O80" s="82"/>
      <c r="P80" s="82"/>
      <c r="Q80" s="82"/>
      <c r="R80" s="82"/>
    </row>
    <row r="81" spans="1:18" x14ac:dyDescent="0.15">
      <c r="A81" s="82"/>
      <c r="B81" s="82"/>
      <c r="C81" s="82"/>
      <c r="D81" s="82"/>
      <c r="E81" s="82"/>
      <c r="F81" s="82"/>
      <c r="G81" s="82"/>
      <c r="H81" s="82"/>
      <c r="I81" s="82"/>
      <c r="J81" s="82"/>
      <c r="K81" s="82"/>
      <c r="L81" s="82"/>
      <c r="M81" s="82"/>
      <c r="N81" s="82"/>
      <c r="O81" s="82"/>
      <c r="P81" s="82"/>
      <c r="Q81" s="82"/>
      <c r="R81" s="82"/>
    </row>
    <row r="82" spans="1:18" x14ac:dyDescent="0.15">
      <c r="A82" s="82"/>
      <c r="B82" s="82"/>
      <c r="C82" s="82"/>
      <c r="D82" s="82"/>
      <c r="E82" s="82"/>
      <c r="F82" s="82"/>
      <c r="G82" s="82"/>
      <c r="H82" s="82"/>
      <c r="I82" s="82"/>
      <c r="J82" s="82"/>
      <c r="K82" s="82"/>
      <c r="L82" s="82"/>
      <c r="M82" s="82"/>
      <c r="N82" s="82"/>
      <c r="O82" s="82"/>
      <c r="P82" s="82"/>
      <c r="Q82" s="82"/>
      <c r="R82" s="82"/>
    </row>
    <row r="83" spans="1:18" x14ac:dyDescent="0.15">
      <c r="A83" s="82"/>
      <c r="B83" s="82"/>
      <c r="C83" s="82"/>
      <c r="D83" s="82"/>
      <c r="E83" s="82"/>
      <c r="F83" s="82"/>
      <c r="G83" s="82"/>
      <c r="H83" s="82"/>
      <c r="I83" s="82"/>
      <c r="J83" s="82"/>
      <c r="K83" s="82"/>
      <c r="L83" s="82"/>
      <c r="M83" s="82"/>
      <c r="N83" s="82"/>
      <c r="O83" s="82"/>
      <c r="P83" s="82"/>
      <c r="Q83" s="82"/>
      <c r="R83" s="82"/>
    </row>
    <row r="84" spans="1:18" x14ac:dyDescent="0.15">
      <c r="A84" s="82"/>
      <c r="B84" s="82"/>
      <c r="C84" s="82"/>
      <c r="D84" s="82"/>
      <c r="E84" s="82"/>
      <c r="F84" s="82"/>
      <c r="G84" s="82"/>
      <c r="H84" s="82"/>
      <c r="I84" s="82"/>
      <c r="J84" s="82"/>
      <c r="K84" s="82"/>
      <c r="L84" s="82"/>
      <c r="M84" s="82"/>
      <c r="N84" s="82"/>
      <c r="O84" s="82"/>
      <c r="P84" s="82"/>
      <c r="Q84" s="82"/>
      <c r="R84" s="82"/>
    </row>
    <row r="85" spans="1:18" x14ac:dyDescent="0.15">
      <c r="A85" s="82"/>
      <c r="B85" s="82"/>
      <c r="C85" s="82"/>
      <c r="D85" s="82"/>
      <c r="E85" s="82"/>
      <c r="F85" s="82"/>
      <c r="G85" s="82"/>
      <c r="H85" s="82"/>
      <c r="I85" s="82"/>
      <c r="J85" s="82"/>
      <c r="K85" s="82"/>
      <c r="L85" s="82"/>
      <c r="M85" s="82"/>
      <c r="N85" s="82"/>
      <c r="O85" s="82"/>
      <c r="P85" s="82"/>
      <c r="Q85" s="82"/>
      <c r="R85" s="82"/>
    </row>
    <row r="86" spans="1:18" x14ac:dyDescent="0.15">
      <c r="A86" s="82"/>
      <c r="B86" s="82"/>
      <c r="C86" s="82"/>
      <c r="D86" s="82"/>
      <c r="E86" s="82"/>
      <c r="F86" s="82"/>
      <c r="G86" s="82"/>
      <c r="H86" s="82"/>
      <c r="I86" s="82"/>
      <c r="J86" s="82"/>
      <c r="K86" s="82"/>
      <c r="L86" s="82"/>
      <c r="M86" s="82"/>
      <c r="N86" s="82"/>
      <c r="O86" s="82"/>
      <c r="P86" s="82"/>
      <c r="Q86" s="82"/>
      <c r="R86" s="82"/>
    </row>
  </sheetData>
  <phoneticPr fontId="26" type="noConversion"/>
  <pageMargins left="0.75" right="0.75" top="1" bottom="1" header="0.5" footer="0.5"/>
  <pageSetup paperSize="9" orientation="portrait" horizontalDpi="4294967293" verticalDpi="120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13"/>
  </sheetPr>
  <dimension ref="A1:U107"/>
  <sheetViews>
    <sheetView zoomScale="125" workbookViewId="0">
      <selection activeCell="G1" sqref="G1"/>
    </sheetView>
  </sheetViews>
  <sheetFormatPr baseColWidth="10" defaultColWidth="10.6640625" defaultRowHeight="13" x14ac:dyDescent="0.15"/>
  <cols>
    <col min="1" max="2" width="8.83203125" customWidth="1"/>
    <col min="3" max="3" width="20.6640625" customWidth="1"/>
    <col min="4" max="4" width="37.1640625" customWidth="1"/>
    <col min="5" max="5" width="20.6640625" customWidth="1"/>
    <col min="6" max="6" width="23.83203125" customWidth="1"/>
    <col min="7" max="7" width="8.83203125" customWidth="1"/>
    <col min="8" max="8" width="9.83203125" customWidth="1"/>
    <col min="9" max="256" width="8.83203125" customWidth="1"/>
  </cols>
  <sheetData>
    <row r="1" spans="1:21" ht="19" thickBot="1" x14ac:dyDescent="0.25">
      <c r="A1" s="120" t="s">
        <v>1023</v>
      </c>
      <c r="B1" s="121"/>
      <c r="C1" s="121"/>
      <c r="D1" s="121"/>
      <c r="E1" s="677" t="str">
        <f>'Title Page'!F3</f>
        <v>3UCubed</v>
      </c>
      <c r="F1" s="121"/>
      <c r="G1" s="905">
        <f ca="1">'Title Page'!F23</f>
        <v>45769</v>
      </c>
      <c r="H1" s="121"/>
      <c r="I1" s="121"/>
      <c r="J1" s="121"/>
      <c r="K1" s="121"/>
      <c r="L1" s="121"/>
      <c r="M1" s="121"/>
      <c r="N1" s="121"/>
      <c r="O1" s="121"/>
      <c r="P1" s="121"/>
      <c r="Q1" s="121"/>
      <c r="R1" s="121"/>
      <c r="S1" s="121"/>
      <c r="T1" s="121"/>
      <c r="U1" s="121"/>
    </row>
    <row r="2" spans="1:21" ht="14" thickBot="1" x14ac:dyDescent="0.2">
      <c r="A2" s="678" t="s">
        <v>391</v>
      </c>
      <c r="B2" s="679"/>
      <c r="C2" s="680" t="s">
        <v>512</v>
      </c>
      <c r="D2" s="3"/>
      <c r="E2" s="231" t="s">
        <v>655</v>
      </c>
      <c r="F2" s="3" t="s">
        <v>656</v>
      </c>
      <c r="G2" s="82" t="s">
        <v>854</v>
      </c>
      <c r="H2" s="82"/>
      <c r="I2" s="82"/>
      <c r="J2" s="82"/>
      <c r="K2" s="82"/>
      <c r="L2" s="82"/>
      <c r="M2" s="82"/>
      <c r="N2" s="82"/>
      <c r="O2" s="82"/>
      <c r="P2" s="82"/>
      <c r="Q2" s="82"/>
      <c r="R2" s="82"/>
      <c r="S2" s="82"/>
      <c r="T2" s="82"/>
      <c r="U2" s="82"/>
    </row>
    <row r="3" spans="1:21" ht="17" thickBot="1" x14ac:dyDescent="0.25">
      <c r="A3" s="632" t="s">
        <v>855</v>
      </c>
      <c r="B3" s="633"/>
      <c r="C3" s="656" t="s">
        <v>653</v>
      </c>
      <c r="D3" s="657"/>
      <c r="E3" s="655">
        <v>4</v>
      </c>
      <c r="F3" s="721" t="str">
        <f>INDEX(C6:C23,E3,1)</f>
        <v>G3RUH FSK</v>
      </c>
      <c r="G3" s="82"/>
      <c r="H3" s="70" t="s">
        <v>50</v>
      </c>
      <c r="I3" s="82"/>
      <c r="J3" s="82"/>
      <c r="K3" s="82"/>
      <c r="L3" s="82"/>
      <c r="M3" s="82"/>
      <c r="N3" s="82"/>
      <c r="O3" s="82"/>
      <c r="P3" s="82"/>
      <c r="Q3" s="82"/>
      <c r="R3" s="82"/>
      <c r="S3" s="82"/>
      <c r="T3" s="82"/>
      <c r="U3" s="82"/>
    </row>
    <row r="4" spans="1:21" ht="14" thickBot="1" x14ac:dyDescent="0.2">
      <c r="A4" s="702" t="s">
        <v>387</v>
      </c>
      <c r="B4" s="3"/>
      <c r="C4" s="3"/>
      <c r="D4" s="3"/>
      <c r="E4" s="3"/>
      <c r="F4" s="3"/>
      <c r="G4" s="82"/>
      <c r="H4" s="71" t="s">
        <v>51</v>
      </c>
      <c r="I4" s="82"/>
      <c r="J4" s="82"/>
      <c r="K4" s="82"/>
      <c r="L4" s="82"/>
      <c r="M4" s="82"/>
      <c r="N4" s="82"/>
      <c r="O4" s="82"/>
      <c r="P4" s="82"/>
      <c r="Q4" s="82"/>
      <c r="R4" s="82"/>
      <c r="S4" s="82"/>
      <c r="T4" s="82"/>
      <c r="U4" s="82"/>
    </row>
    <row r="5" spans="1:21" ht="16" x14ac:dyDescent="0.2">
      <c r="A5" s="82"/>
      <c r="B5" s="64" t="s">
        <v>637</v>
      </c>
      <c r="C5" s="64" t="s">
        <v>636</v>
      </c>
      <c r="D5" s="64" t="s">
        <v>638</v>
      </c>
      <c r="E5" s="64" t="s">
        <v>639</v>
      </c>
      <c r="F5" s="64" t="s">
        <v>640</v>
      </c>
      <c r="G5" s="82"/>
      <c r="H5" s="73">
        <f>INDEX(F6:F23,E3,1)+E25</f>
        <v>19</v>
      </c>
      <c r="I5" s="82"/>
      <c r="J5" s="82"/>
      <c r="K5" s="82"/>
      <c r="L5" s="82"/>
      <c r="M5" s="82"/>
      <c r="N5" s="82"/>
      <c r="O5" s="82"/>
      <c r="P5" s="82"/>
      <c r="Q5" s="82"/>
      <c r="R5" s="82"/>
      <c r="S5" s="82"/>
      <c r="T5" s="82"/>
      <c r="U5" s="82"/>
    </row>
    <row r="6" spans="1:21" ht="17" thickBot="1" x14ac:dyDescent="0.25">
      <c r="A6" s="82"/>
      <c r="B6" s="68">
        <v>1</v>
      </c>
      <c r="C6" s="65" t="s">
        <v>641</v>
      </c>
      <c r="D6" s="65" t="s">
        <v>642</v>
      </c>
      <c r="E6" s="66">
        <v>1E-4</v>
      </c>
      <c r="F6" s="74">
        <v>21</v>
      </c>
      <c r="G6" s="82"/>
      <c r="H6" s="72" t="s">
        <v>554</v>
      </c>
      <c r="I6" s="82"/>
      <c r="J6" s="82"/>
      <c r="K6" s="82"/>
      <c r="L6" s="82"/>
      <c r="M6" s="82"/>
      <c r="N6" s="82"/>
      <c r="O6" s="82"/>
      <c r="P6" s="82"/>
      <c r="Q6" s="82"/>
      <c r="R6" s="82"/>
      <c r="S6" s="82"/>
      <c r="T6" s="82"/>
      <c r="U6" s="82"/>
    </row>
    <row r="7" spans="1:21" ht="16" x14ac:dyDescent="0.2">
      <c r="A7" s="82"/>
      <c r="B7" s="68">
        <v>2</v>
      </c>
      <c r="C7" s="65" t="s">
        <v>641</v>
      </c>
      <c r="D7" s="65" t="s">
        <v>642</v>
      </c>
      <c r="E7" s="66">
        <v>1.0000000000000001E-5</v>
      </c>
      <c r="F7" s="74">
        <v>23.2</v>
      </c>
      <c r="G7" s="82"/>
      <c r="H7" s="82"/>
      <c r="I7" s="82"/>
      <c r="J7" s="82"/>
      <c r="K7" s="82"/>
      <c r="L7" s="82"/>
      <c r="M7" s="82"/>
      <c r="N7" s="82"/>
      <c r="O7" s="82"/>
      <c r="P7" s="82"/>
      <c r="Q7" s="82"/>
      <c r="R7" s="82"/>
      <c r="S7" s="82"/>
      <c r="T7" s="82"/>
      <c r="U7" s="82"/>
    </row>
    <row r="8" spans="1:21" ht="16" x14ac:dyDescent="0.2">
      <c r="A8" s="82"/>
      <c r="B8" s="68">
        <v>3</v>
      </c>
      <c r="C8" s="65" t="s">
        <v>643</v>
      </c>
      <c r="D8" s="65" t="s">
        <v>642</v>
      </c>
      <c r="E8" s="66">
        <v>1E-4</v>
      </c>
      <c r="F8" s="74">
        <v>16.7</v>
      </c>
      <c r="G8" s="82"/>
      <c r="H8" s="82"/>
      <c r="I8" s="82"/>
      <c r="J8" s="82"/>
      <c r="K8" s="82"/>
      <c r="L8" s="82"/>
      <c r="M8" s="82"/>
      <c r="N8" s="82"/>
      <c r="O8" s="82"/>
      <c r="P8" s="82"/>
      <c r="Q8" s="82"/>
      <c r="R8" s="82"/>
      <c r="S8" s="82"/>
      <c r="T8" s="82"/>
      <c r="U8" s="82"/>
    </row>
    <row r="9" spans="1:21" ht="16" x14ac:dyDescent="0.2">
      <c r="A9" s="82"/>
      <c r="B9" s="68">
        <v>4</v>
      </c>
      <c r="C9" s="65" t="s">
        <v>643</v>
      </c>
      <c r="D9" s="65" t="s">
        <v>642</v>
      </c>
      <c r="E9" s="66">
        <v>1.0000000000000001E-5</v>
      </c>
      <c r="F9" s="74">
        <v>18</v>
      </c>
      <c r="G9" s="82"/>
      <c r="H9" s="82"/>
      <c r="I9" s="82"/>
      <c r="J9" s="82"/>
      <c r="K9" s="82"/>
      <c r="L9" s="82"/>
      <c r="M9" s="82"/>
      <c r="N9" s="82"/>
      <c r="O9" s="82"/>
      <c r="P9" s="82"/>
      <c r="Q9" s="82"/>
      <c r="R9" s="82"/>
      <c r="S9" s="82"/>
      <c r="T9" s="82"/>
      <c r="U9" s="82"/>
    </row>
    <row r="10" spans="1:21" ht="16" x14ac:dyDescent="0.2">
      <c r="A10" s="82"/>
      <c r="B10" s="68">
        <v>5</v>
      </c>
      <c r="C10" s="65" t="s">
        <v>644</v>
      </c>
      <c r="D10" s="65" t="s">
        <v>642</v>
      </c>
      <c r="E10" s="66">
        <v>1E-4</v>
      </c>
      <c r="F10" s="74">
        <v>13.4</v>
      </c>
      <c r="G10" s="82"/>
      <c r="H10" s="82"/>
      <c r="I10" s="82"/>
      <c r="J10" s="82"/>
      <c r="K10" s="82"/>
      <c r="L10" s="82"/>
      <c r="M10" s="82"/>
      <c r="N10" s="82"/>
      <c r="O10" s="82"/>
      <c r="P10" s="82"/>
      <c r="Q10" s="82"/>
      <c r="R10" s="82"/>
      <c r="S10" s="82"/>
      <c r="T10" s="82"/>
      <c r="U10" s="82"/>
    </row>
    <row r="11" spans="1:21" ht="16" x14ac:dyDescent="0.2">
      <c r="A11" s="82"/>
      <c r="B11" s="68">
        <v>6</v>
      </c>
      <c r="C11" s="65" t="s">
        <v>644</v>
      </c>
      <c r="D11" s="65" t="s">
        <v>642</v>
      </c>
      <c r="E11" s="66">
        <v>1.0000000000000001E-5</v>
      </c>
      <c r="F11" s="74">
        <v>13.8</v>
      </c>
      <c r="G11" s="82"/>
      <c r="H11" s="82"/>
      <c r="I11" s="82"/>
      <c r="J11" s="82"/>
      <c r="K11" s="82"/>
      <c r="L11" s="82"/>
      <c r="M11" s="82"/>
      <c r="N11" s="82"/>
      <c r="O11" s="82"/>
      <c r="P11" s="82"/>
      <c r="Q11" s="82"/>
      <c r="R11" s="82"/>
      <c r="S11" s="82"/>
      <c r="T11" s="82"/>
      <c r="U11" s="82"/>
    </row>
    <row r="12" spans="1:21" ht="16" x14ac:dyDescent="0.2">
      <c r="A12" s="82"/>
      <c r="B12" s="68">
        <v>7</v>
      </c>
      <c r="C12" s="65" t="s">
        <v>645</v>
      </c>
      <c r="D12" s="65" t="s">
        <v>642</v>
      </c>
      <c r="E12" s="66">
        <v>1E-4</v>
      </c>
      <c r="F12" s="74">
        <v>10.5</v>
      </c>
      <c r="G12" s="82"/>
      <c r="H12" s="82"/>
      <c r="I12" s="82"/>
      <c r="J12" s="82"/>
      <c r="K12" s="82"/>
      <c r="L12" s="82"/>
      <c r="M12" s="82"/>
      <c r="N12" s="82"/>
      <c r="O12" s="82"/>
      <c r="P12" s="82"/>
      <c r="Q12" s="82"/>
      <c r="R12" s="82"/>
      <c r="S12" s="82"/>
      <c r="T12" s="82"/>
      <c r="U12" s="82"/>
    </row>
    <row r="13" spans="1:21" ht="16" x14ac:dyDescent="0.2">
      <c r="A13" s="82"/>
      <c r="B13" s="68">
        <v>8</v>
      </c>
      <c r="C13" s="65" t="s">
        <v>645</v>
      </c>
      <c r="D13" s="65" t="s">
        <v>642</v>
      </c>
      <c r="E13" s="66">
        <v>1.0000000000000001E-5</v>
      </c>
      <c r="F13" s="74">
        <v>11.9</v>
      </c>
      <c r="G13" s="82"/>
      <c r="H13" s="82"/>
      <c r="I13" s="82"/>
      <c r="J13" s="82"/>
      <c r="K13" s="82"/>
      <c r="L13" s="82"/>
      <c r="M13" s="82"/>
      <c r="N13" s="82"/>
      <c r="O13" s="82"/>
      <c r="P13" s="82"/>
      <c r="Q13" s="82"/>
      <c r="R13" s="82"/>
      <c r="S13" s="82"/>
      <c r="T13" s="82"/>
      <c r="U13" s="82"/>
    </row>
    <row r="14" spans="1:21" ht="16" x14ac:dyDescent="0.2">
      <c r="A14" s="82"/>
      <c r="B14" s="68">
        <v>9</v>
      </c>
      <c r="C14" s="65" t="s">
        <v>648</v>
      </c>
      <c r="D14" s="65" t="s">
        <v>642</v>
      </c>
      <c r="E14" s="66">
        <v>1E-4</v>
      </c>
      <c r="F14" s="74">
        <v>8.4</v>
      </c>
      <c r="G14" s="82"/>
      <c r="H14" s="82"/>
      <c r="I14" s="82"/>
      <c r="J14" s="82"/>
      <c r="K14" s="82"/>
      <c r="L14" s="82"/>
      <c r="M14" s="82"/>
      <c r="N14" s="82"/>
      <c r="O14" s="82"/>
      <c r="P14" s="82"/>
      <c r="Q14" s="82"/>
      <c r="R14" s="82"/>
      <c r="S14" s="82"/>
      <c r="T14" s="82"/>
      <c r="U14" s="82"/>
    </row>
    <row r="15" spans="1:21" ht="16" x14ac:dyDescent="0.2">
      <c r="A15" s="82"/>
      <c r="B15" s="68">
        <v>10</v>
      </c>
      <c r="C15" s="65" t="s">
        <v>648</v>
      </c>
      <c r="D15" s="65" t="s">
        <v>642</v>
      </c>
      <c r="E15" s="66">
        <v>1.0000000000000001E-5</v>
      </c>
      <c r="F15" s="74">
        <v>9.6</v>
      </c>
      <c r="G15" s="82"/>
      <c r="H15" s="82"/>
      <c r="I15" s="82"/>
      <c r="J15" s="82"/>
      <c r="K15" s="82"/>
      <c r="L15" s="82"/>
      <c r="M15" s="82"/>
      <c r="N15" s="82"/>
      <c r="O15" s="82"/>
      <c r="P15" s="82"/>
      <c r="Q15" s="82"/>
      <c r="R15" s="82"/>
      <c r="S15" s="82"/>
      <c r="T15" s="82"/>
      <c r="U15" s="82"/>
    </row>
    <row r="16" spans="1:21" ht="16" x14ac:dyDescent="0.2">
      <c r="A16" s="82"/>
      <c r="B16" s="68">
        <v>11</v>
      </c>
      <c r="C16" s="65" t="s">
        <v>646</v>
      </c>
      <c r="D16" s="65" t="s">
        <v>642</v>
      </c>
      <c r="E16" s="66">
        <v>1.0000000000000001E-5</v>
      </c>
      <c r="F16" s="74">
        <v>9.6</v>
      </c>
      <c r="G16" s="82"/>
      <c r="H16" s="82"/>
      <c r="I16" s="82"/>
      <c r="J16" s="82"/>
      <c r="K16" s="82"/>
      <c r="L16" s="82"/>
      <c r="M16" s="82"/>
      <c r="N16" s="82"/>
      <c r="O16" s="82"/>
      <c r="P16" s="82"/>
      <c r="Q16" s="82"/>
      <c r="R16" s="82"/>
      <c r="S16" s="82"/>
      <c r="T16" s="82"/>
      <c r="U16" s="82"/>
    </row>
    <row r="17" spans="1:21" ht="16" x14ac:dyDescent="0.2">
      <c r="A17" s="82"/>
      <c r="B17" s="68">
        <v>12</v>
      </c>
      <c r="C17" s="65" t="s">
        <v>646</v>
      </c>
      <c r="D17" s="65" t="s">
        <v>642</v>
      </c>
      <c r="E17" s="66">
        <v>9.9999999999999995E-7</v>
      </c>
      <c r="F17" s="74">
        <v>10.5</v>
      </c>
      <c r="G17" s="82"/>
      <c r="H17" s="82"/>
      <c r="I17" s="82"/>
      <c r="J17" s="82"/>
      <c r="K17" s="82"/>
      <c r="L17" s="82"/>
      <c r="M17" s="82"/>
      <c r="N17" s="82"/>
      <c r="O17" s="82"/>
      <c r="P17" s="82"/>
      <c r="Q17" s="82"/>
      <c r="R17" s="82"/>
      <c r="S17" s="82"/>
      <c r="T17" s="82"/>
      <c r="U17" s="82"/>
    </row>
    <row r="18" spans="1:21" ht="16" x14ac:dyDescent="0.2">
      <c r="A18" s="82"/>
      <c r="B18" s="68">
        <v>13</v>
      </c>
      <c r="C18" s="65" t="s">
        <v>647</v>
      </c>
      <c r="D18" s="65" t="s">
        <v>642</v>
      </c>
      <c r="E18" s="66">
        <v>1.0000000000000001E-5</v>
      </c>
      <c r="F18" s="74">
        <v>9.6</v>
      </c>
      <c r="G18" s="82"/>
      <c r="H18" s="82"/>
      <c r="I18" s="82"/>
      <c r="J18" s="82"/>
      <c r="K18" s="82"/>
      <c r="L18" s="82"/>
      <c r="M18" s="82"/>
      <c r="N18" s="82"/>
      <c r="O18" s="82"/>
      <c r="P18" s="82"/>
      <c r="Q18" s="82"/>
      <c r="R18" s="82"/>
      <c r="S18" s="82"/>
      <c r="T18" s="82"/>
      <c r="U18" s="82"/>
    </row>
    <row r="19" spans="1:21" ht="16" x14ac:dyDescent="0.2">
      <c r="A19" s="82"/>
      <c r="B19" s="68">
        <v>14</v>
      </c>
      <c r="C19" s="65" t="s">
        <v>647</v>
      </c>
      <c r="D19" s="65" t="s">
        <v>642</v>
      </c>
      <c r="E19" s="66">
        <v>9.9999999999999995E-7</v>
      </c>
      <c r="F19" s="74">
        <v>10.5</v>
      </c>
      <c r="G19" s="82"/>
      <c r="H19" s="82"/>
      <c r="I19" s="82"/>
      <c r="J19" s="82"/>
      <c r="K19" s="82"/>
      <c r="L19" s="82"/>
      <c r="M19" s="82"/>
      <c r="N19" s="82"/>
      <c r="O19" s="82"/>
      <c r="P19" s="82"/>
      <c r="Q19" s="82"/>
      <c r="R19" s="82"/>
      <c r="S19" s="82"/>
      <c r="T19" s="82"/>
      <c r="U19" s="82"/>
    </row>
    <row r="20" spans="1:21" ht="16" x14ac:dyDescent="0.2">
      <c r="A20" s="82"/>
      <c r="B20" s="68">
        <v>15</v>
      </c>
      <c r="C20" s="65" t="s">
        <v>646</v>
      </c>
      <c r="D20" s="65" t="s">
        <v>649</v>
      </c>
      <c r="E20" s="66">
        <v>9.9999999999999995E-7</v>
      </c>
      <c r="F20" s="74">
        <v>4.8</v>
      </c>
      <c r="G20" s="82"/>
      <c r="H20" s="82"/>
      <c r="I20" s="82"/>
      <c r="J20" s="82"/>
      <c r="K20" s="82"/>
      <c r="L20" s="82"/>
      <c r="M20" s="82"/>
      <c r="N20" s="82"/>
      <c r="O20" s="82"/>
      <c r="P20" s="82"/>
      <c r="Q20" s="82"/>
      <c r="R20" s="82"/>
      <c r="S20" s="82"/>
      <c r="T20" s="82"/>
      <c r="U20" s="82"/>
    </row>
    <row r="21" spans="1:21" ht="16" x14ac:dyDescent="0.2">
      <c r="A21" s="82"/>
      <c r="B21" s="68">
        <v>16</v>
      </c>
      <c r="C21" s="65" t="s">
        <v>646</v>
      </c>
      <c r="D21" s="65" t="s">
        <v>650</v>
      </c>
      <c r="E21" s="66">
        <v>9.9999999999999995E-7</v>
      </c>
      <c r="F21" s="74">
        <v>2.5</v>
      </c>
      <c r="G21" s="82"/>
      <c r="H21" s="82"/>
      <c r="I21" s="82"/>
      <c r="J21" s="82"/>
      <c r="K21" s="82"/>
      <c r="L21" s="82"/>
      <c r="M21" s="82"/>
      <c r="N21" s="82"/>
      <c r="O21" s="82"/>
      <c r="P21" s="82"/>
      <c r="Q21" s="82"/>
      <c r="R21" s="82"/>
      <c r="S21" s="82"/>
      <c r="T21" s="82"/>
      <c r="U21" s="82"/>
    </row>
    <row r="22" spans="1:21" ht="16" x14ac:dyDescent="0.2">
      <c r="A22" s="82"/>
      <c r="B22" s="68">
        <v>17</v>
      </c>
      <c r="C22" s="65" t="s">
        <v>646</v>
      </c>
      <c r="D22" s="65" t="s">
        <v>651</v>
      </c>
      <c r="E22" s="66">
        <v>9.9999999999999995E-8</v>
      </c>
      <c r="F22" s="74">
        <v>0.8</v>
      </c>
      <c r="G22" s="82"/>
      <c r="H22" s="82"/>
      <c r="I22" s="82"/>
      <c r="J22" s="82"/>
      <c r="K22" s="82"/>
      <c r="L22" s="82"/>
      <c r="M22" s="82"/>
      <c r="N22" s="82"/>
      <c r="O22" s="82"/>
      <c r="P22" s="82"/>
      <c r="Q22" s="82"/>
      <c r="R22" s="82"/>
      <c r="S22" s="82"/>
      <c r="T22" s="82"/>
      <c r="U22" s="82"/>
    </row>
    <row r="23" spans="1:21" ht="16" x14ac:dyDescent="0.2">
      <c r="A23" s="82"/>
      <c r="B23" s="68">
        <v>18</v>
      </c>
      <c r="C23" s="67" t="s">
        <v>652</v>
      </c>
      <c r="D23" s="67" t="s">
        <v>642</v>
      </c>
      <c r="E23" s="76">
        <v>1.0000000000000001E-5</v>
      </c>
      <c r="F23" s="75">
        <v>9.6</v>
      </c>
      <c r="G23" s="82"/>
      <c r="H23" s="82"/>
      <c r="I23" s="82"/>
      <c r="J23" s="82"/>
      <c r="K23" s="82"/>
      <c r="L23" s="82"/>
      <c r="M23" s="82"/>
      <c r="N23" s="82"/>
      <c r="O23" s="82"/>
      <c r="P23" s="82"/>
      <c r="Q23" s="82"/>
      <c r="R23" s="82"/>
      <c r="S23" s="82"/>
      <c r="T23" s="82"/>
      <c r="U23" s="82"/>
    </row>
    <row r="24" spans="1:21" ht="14" thickBot="1" x14ac:dyDescent="0.2">
      <c r="A24" s="82"/>
      <c r="B24" s="82"/>
      <c r="C24" s="82"/>
      <c r="D24" s="244" t="s">
        <v>49</v>
      </c>
      <c r="E24" s="82"/>
      <c r="F24" s="243"/>
      <c r="G24" s="82"/>
      <c r="H24" s="82"/>
      <c r="I24" s="82"/>
      <c r="J24" s="82"/>
      <c r="K24" s="82"/>
      <c r="L24" s="82"/>
      <c r="M24" s="82"/>
      <c r="N24" s="82"/>
      <c r="O24" s="82"/>
      <c r="P24" s="82"/>
      <c r="Q24" s="82"/>
      <c r="R24" s="82"/>
      <c r="S24" s="82"/>
      <c r="T24" s="82"/>
      <c r="U24" s="82"/>
    </row>
    <row r="25" spans="1:21" ht="17" thickBot="1" x14ac:dyDescent="0.25">
      <c r="A25" s="82"/>
      <c r="B25" s="351" t="s">
        <v>868</v>
      </c>
      <c r="C25" s="82"/>
      <c r="D25" s="703" t="s">
        <v>654</v>
      </c>
      <c r="E25" s="704">
        <v>1</v>
      </c>
      <c r="F25" s="69" t="s">
        <v>554</v>
      </c>
      <c r="G25" s="82"/>
      <c r="H25" s="82"/>
      <c r="I25" s="82"/>
      <c r="J25" s="82"/>
      <c r="K25" s="82"/>
      <c r="L25" s="82"/>
      <c r="M25" s="82"/>
      <c r="N25" s="82"/>
      <c r="O25" s="82"/>
      <c r="P25" s="82"/>
      <c r="Q25" s="82"/>
      <c r="R25" s="82"/>
      <c r="S25" s="82"/>
      <c r="T25" s="82"/>
      <c r="U25" s="82"/>
    </row>
    <row r="26" spans="1:21" ht="14" thickBot="1" x14ac:dyDescent="0.2">
      <c r="A26" s="82"/>
      <c r="B26" s="82"/>
      <c r="C26" s="82"/>
      <c r="D26" s="82"/>
      <c r="E26" s="82"/>
      <c r="F26" s="82"/>
      <c r="G26" s="82"/>
      <c r="H26" s="82"/>
      <c r="I26" s="82"/>
      <c r="J26" s="82"/>
      <c r="K26" s="82"/>
      <c r="L26" s="82"/>
      <c r="M26" s="82"/>
      <c r="N26" s="82"/>
      <c r="O26" s="82"/>
      <c r="P26" s="82"/>
      <c r="Q26" s="82"/>
      <c r="R26" s="82"/>
      <c r="S26" s="82"/>
      <c r="T26" s="82"/>
      <c r="U26" s="82"/>
    </row>
    <row r="27" spans="1:21" ht="14" thickBot="1" x14ac:dyDescent="0.2">
      <c r="A27" s="247"/>
      <c r="B27" s="25"/>
      <c r="C27" s="248" t="s">
        <v>847</v>
      </c>
      <c r="D27" s="25" t="s">
        <v>512</v>
      </c>
      <c r="E27" s="248" t="s">
        <v>850</v>
      </c>
      <c r="F27" s="25"/>
      <c r="G27" s="25"/>
      <c r="H27" s="25"/>
      <c r="I27" s="25"/>
      <c r="J27" s="25"/>
      <c r="K27" s="25"/>
      <c r="L27" s="25"/>
      <c r="M27" s="25"/>
      <c r="N27" s="25"/>
      <c r="O27" s="25"/>
      <c r="P27" s="25"/>
      <c r="Q27" s="25"/>
      <c r="R27" s="25"/>
      <c r="S27" s="25"/>
      <c r="T27" s="25"/>
      <c r="U27" s="26"/>
    </row>
    <row r="28" spans="1:21" x14ac:dyDescent="0.15">
      <c r="A28" s="3"/>
      <c r="B28" s="3"/>
      <c r="C28" s="3"/>
      <c r="D28" s="3"/>
      <c r="E28" s="3"/>
      <c r="F28" s="3"/>
      <c r="G28" s="82"/>
      <c r="H28" s="82"/>
      <c r="I28" s="82"/>
      <c r="J28" s="82"/>
      <c r="K28" s="82"/>
      <c r="L28" s="82"/>
      <c r="M28" s="82"/>
      <c r="N28" s="82"/>
      <c r="O28" s="82"/>
      <c r="P28" s="82"/>
      <c r="Q28" s="82"/>
      <c r="R28" s="82"/>
      <c r="S28" s="82"/>
      <c r="T28" s="82"/>
      <c r="U28" s="82"/>
    </row>
    <row r="29" spans="1:21" ht="14" thickBot="1" x14ac:dyDescent="0.2">
      <c r="A29" s="3"/>
      <c r="B29" s="3"/>
      <c r="C29" s="3"/>
      <c r="D29" s="3"/>
      <c r="E29" s="231" t="s">
        <v>655</v>
      </c>
      <c r="F29" s="3" t="s">
        <v>656</v>
      </c>
      <c r="G29" s="82" t="s">
        <v>854</v>
      </c>
      <c r="H29" s="82"/>
      <c r="I29" s="82"/>
      <c r="J29" s="82"/>
      <c r="K29" s="82"/>
      <c r="L29" s="82"/>
      <c r="M29" s="82"/>
      <c r="N29" s="82"/>
      <c r="O29" s="82"/>
      <c r="P29" s="82"/>
      <c r="Q29" s="82"/>
      <c r="R29" s="82"/>
      <c r="S29" s="82"/>
      <c r="T29" s="82"/>
      <c r="U29" s="82"/>
    </row>
    <row r="30" spans="1:21" ht="17" thickBot="1" x14ac:dyDescent="0.25">
      <c r="A30" s="245" t="s">
        <v>856</v>
      </c>
      <c r="B30" s="246"/>
      <c r="C30" s="701" t="s">
        <v>653</v>
      </c>
      <c r="D30" s="657"/>
      <c r="E30" s="655">
        <v>4</v>
      </c>
      <c r="F30" s="721" t="str">
        <f>INDEX(C33:C51,E30,1)</f>
        <v>G3RUH FSK</v>
      </c>
      <c r="G30" s="82"/>
      <c r="H30" s="70" t="s">
        <v>50</v>
      </c>
      <c r="I30" s="82"/>
      <c r="J30" s="82"/>
      <c r="K30" s="82"/>
      <c r="L30" s="82"/>
      <c r="M30" s="82"/>
      <c r="N30" s="82"/>
      <c r="O30" s="82"/>
      <c r="P30" s="82"/>
      <c r="Q30" s="82"/>
      <c r="R30" s="82"/>
      <c r="S30" s="82"/>
      <c r="T30" s="82"/>
      <c r="U30" s="82"/>
    </row>
    <row r="31" spans="1:21" ht="14" thickBot="1" x14ac:dyDescent="0.2">
      <c r="A31" s="702" t="s">
        <v>388</v>
      </c>
      <c r="B31" s="3"/>
      <c r="C31" s="3"/>
      <c r="D31" s="3"/>
      <c r="E31" s="3"/>
      <c r="F31" s="3"/>
      <c r="G31" s="82"/>
      <c r="H31" s="71" t="s">
        <v>51</v>
      </c>
      <c r="I31" s="82"/>
      <c r="J31" s="82"/>
      <c r="K31" s="82"/>
      <c r="L31" s="82"/>
      <c r="M31" s="82"/>
      <c r="N31" s="82"/>
      <c r="O31" s="82"/>
      <c r="P31" s="82"/>
      <c r="Q31" s="82"/>
      <c r="R31" s="82"/>
      <c r="S31" s="82"/>
      <c r="T31" s="82"/>
      <c r="U31" s="82"/>
    </row>
    <row r="32" spans="1:21" ht="16" x14ac:dyDescent="0.2">
      <c r="A32" s="82"/>
      <c r="B32" s="64" t="s">
        <v>637</v>
      </c>
      <c r="C32" s="64" t="s">
        <v>636</v>
      </c>
      <c r="D32" s="64" t="s">
        <v>638</v>
      </c>
      <c r="E32" s="64" t="s">
        <v>639</v>
      </c>
      <c r="F32" s="64" t="s">
        <v>640</v>
      </c>
      <c r="G32" s="82"/>
      <c r="H32" s="73">
        <f>INDEX(F33:F51,E30,1)+E53</f>
        <v>19</v>
      </c>
      <c r="I32" s="82"/>
      <c r="J32" s="82"/>
      <c r="K32" s="82"/>
      <c r="L32" s="82"/>
      <c r="M32" s="82"/>
      <c r="N32" s="82"/>
      <c r="O32" s="82"/>
      <c r="P32" s="82"/>
      <c r="Q32" s="82"/>
      <c r="R32" s="82"/>
      <c r="S32" s="82"/>
      <c r="T32" s="82"/>
      <c r="U32" s="82"/>
    </row>
    <row r="33" spans="1:21" ht="17" thickBot="1" x14ac:dyDescent="0.25">
      <c r="A33" s="82"/>
      <c r="B33" s="68">
        <v>1</v>
      </c>
      <c r="C33" s="65" t="s">
        <v>641</v>
      </c>
      <c r="D33" s="65" t="s">
        <v>642</v>
      </c>
      <c r="E33" s="66">
        <v>1E-4</v>
      </c>
      <c r="F33" s="74">
        <v>21</v>
      </c>
      <c r="G33" s="82"/>
      <c r="H33" s="72" t="s">
        <v>554</v>
      </c>
      <c r="I33" s="82"/>
      <c r="J33" s="82"/>
      <c r="K33" s="82"/>
      <c r="L33" s="82"/>
      <c r="M33" s="82"/>
      <c r="N33" s="82"/>
      <c r="O33" s="82"/>
      <c r="P33" s="82"/>
      <c r="Q33" s="82"/>
      <c r="R33" s="82"/>
      <c r="S33" s="82"/>
      <c r="T33" s="82"/>
      <c r="U33" s="82"/>
    </row>
    <row r="34" spans="1:21" ht="16" x14ac:dyDescent="0.2">
      <c r="A34" s="82"/>
      <c r="B34" s="68">
        <v>2</v>
      </c>
      <c r="C34" s="65" t="s">
        <v>641</v>
      </c>
      <c r="D34" s="65" t="s">
        <v>642</v>
      </c>
      <c r="E34" s="66">
        <v>1.0000000000000001E-5</v>
      </c>
      <c r="F34" s="74">
        <v>23.2</v>
      </c>
      <c r="G34" s="82"/>
      <c r="H34" s="82"/>
      <c r="I34" s="82"/>
      <c r="J34" s="82"/>
      <c r="K34" s="82"/>
      <c r="L34" s="82"/>
      <c r="M34" s="82"/>
      <c r="N34" s="82"/>
      <c r="O34" s="82"/>
      <c r="P34" s="82"/>
      <c r="Q34" s="82"/>
      <c r="R34" s="82"/>
      <c r="S34" s="82"/>
      <c r="T34" s="82"/>
      <c r="U34" s="82"/>
    </row>
    <row r="35" spans="1:21" ht="16" x14ac:dyDescent="0.2">
      <c r="A35" s="82"/>
      <c r="B35" s="68">
        <v>3</v>
      </c>
      <c r="C35" s="65" t="s">
        <v>643</v>
      </c>
      <c r="D35" s="65" t="s">
        <v>642</v>
      </c>
      <c r="E35" s="66">
        <v>1E-4</v>
      </c>
      <c r="F35" s="74">
        <v>16.7</v>
      </c>
      <c r="G35" s="82"/>
      <c r="H35" s="82"/>
      <c r="I35" s="82"/>
      <c r="J35" s="82"/>
      <c r="K35" s="82"/>
      <c r="L35" s="82"/>
      <c r="M35" s="82"/>
      <c r="N35" s="82"/>
      <c r="O35" s="82"/>
      <c r="P35" s="82"/>
      <c r="Q35" s="82"/>
      <c r="R35" s="82"/>
      <c r="S35" s="82"/>
      <c r="T35" s="82"/>
      <c r="U35" s="82"/>
    </row>
    <row r="36" spans="1:21" ht="16" x14ac:dyDescent="0.2">
      <c r="A36" s="82"/>
      <c r="B36" s="68">
        <v>4</v>
      </c>
      <c r="C36" s="65" t="s">
        <v>643</v>
      </c>
      <c r="D36" s="65" t="s">
        <v>642</v>
      </c>
      <c r="E36" s="66">
        <v>1.0000000000000001E-5</v>
      </c>
      <c r="F36" s="74">
        <v>18</v>
      </c>
      <c r="G36" s="82"/>
      <c r="H36" s="82"/>
      <c r="I36" s="82"/>
      <c r="J36" s="82"/>
      <c r="K36" s="82"/>
      <c r="L36" s="82"/>
      <c r="M36" s="82"/>
      <c r="N36" s="82"/>
      <c r="O36" s="82"/>
      <c r="P36" s="82"/>
      <c r="Q36" s="82"/>
      <c r="R36" s="82"/>
      <c r="S36" s="82"/>
      <c r="T36" s="82"/>
      <c r="U36" s="82"/>
    </row>
    <row r="37" spans="1:21" ht="16" x14ac:dyDescent="0.2">
      <c r="A37" s="82"/>
      <c r="B37" s="68">
        <v>5</v>
      </c>
      <c r="C37" s="65" t="s">
        <v>644</v>
      </c>
      <c r="D37" s="65" t="s">
        <v>642</v>
      </c>
      <c r="E37" s="66">
        <v>1E-4</v>
      </c>
      <c r="F37" s="74">
        <v>13.4</v>
      </c>
      <c r="G37" s="82"/>
      <c r="H37" s="82"/>
      <c r="I37" s="82"/>
      <c r="J37" s="82"/>
      <c r="K37" s="82"/>
      <c r="L37" s="82"/>
      <c r="M37" s="82"/>
      <c r="N37" s="82"/>
      <c r="O37" s="82"/>
      <c r="P37" s="82"/>
      <c r="Q37" s="82"/>
      <c r="R37" s="82"/>
      <c r="S37" s="82"/>
      <c r="T37" s="82"/>
      <c r="U37" s="82"/>
    </row>
    <row r="38" spans="1:21" ht="16" x14ac:dyDescent="0.2">
      <c r="A38" s="82"/>
      <c r="B38" s="68">
        <v>6</v>
      </c>
      <c r="C38" s="65" t="s">
        <v>644</v>
      </c>
      <c r="D38" s="65" t="s">
        <v>642</v>
      </c>
      <c r="E38" s="66">
        <v>1.0000000000000001E-5</v>
      </c>
      <c r="F38" s="74">
        <v>13.8</v>
      </c>
      <c r="G38" s="82"/>
      <c r="H38" s="82"/>
      <c r="I38" s="82"/>
      <c r="J38" s="82"/>
      <c r="K38" s="82"/>
      <c r="L38" s="82"/>
      <c r="M38" s="82"/>
      <c r="N38" s="82"/>
      <c r="O38" s="82"/>
      <c r="P38" s="82"/>
      <c r="Q38" s="82"/>
      <c r="R38" s="82"/>
      <c r="S38" s="82"/>
      <c r="T38" s="82"/>
      <c r="U38" s="82"/>
    </row>
    <row r="39" spans="1:21" ht="16" x14ac:dyDescent="0.2">
      <c r="A39" s="82"/>
      <c r="B39" s="68">
        <v>7</v>
      </c>
      <c r="C39" s="65" t="s">
        <v>645</v>
      </c>
      <c r="D39" s="65" t="s">
        <v>642</v>
      </c>
      <c r="E39" s="66">
        <v>1E-4</v>
      </c>
      <c r="F39" s="74">
        <v>10.5</v>
      </c>
      <c r="G39" s="82"/>
      <c r="H39" s="82"/>
      <c r="I39" s="82"/>
      <c r="J39" s="82"/>
      <c r="K39" s="82"/>
      <c r="L39" s="82"/>
      <c r="M39" s="82"/>
      <c r="N39" s="82"/>
      <c r="O39" s="82"/>
      <c r="P39" s="82"/>
      <c r="Q39" s="82"/>
      <c r="R39" s="82"/>
      <c r="S39" s="82"/>
      <c r="T39" s="82"/>
      <c r="U39" s="82"/>
    </row>
    <row r="40" spans="1:21" ht="16" x14ac:dyDescent="0.2">
      <c r="A40" s="82"/>
      <c r="B40" s="68">
        <v>8</v>
      </c>
      <c r="C40" s="65" t="s">
        <v>645</v>
      </c>
      <c r="D40" s="65" t="s">
        <v>642</v>
      </c>
      <c r="E40" s="66">
        <v>1.0000000000000001E-5</v>
      </c>
      <c r="F40" s="74">
        <v>11.9</v>
      </c>
      <c r="G40" s="82"/>
      <c r="H40" s="82"/>
      <c r="I40" s="82"/>
      <c r="J40" s="82"/>
      <c r="K40" s="82"/>
      <c r="L40" s="82"/>
      <c r="M40" s="82"/>
      <c r="N40" s="82"/>
      <c r="O40" s="82"/>
      <c r="P40" s="82"/>
      <c r="Q40" s="82"/>
      <c r="R40" s="82"/>
      <c r="S40" s="82"/>
      <c r="T40" s="82"/>
      <c r="U40" s="82"/>
    </row>
    <row r="41" spans="1:21" ht="16" x14ac:dyDescent="0.2">
      <c r="A41" s="82"/>
      <c r="B41" s="68">
        <v>9</v>
      </c>
      <c r="C41" s="65" t="s">
        <v>648</v>
      </c>
      <c r="D41" s="65" t="s">
        <v>642</v>
      </c>
      <c r="E41" s="66">
        <v>1E-4</v>
      </c>
      <c r="F41" s="74">
        <v>8.4</v>
      </c>
      <c r="G41" s="82"/>
      <c r="H41" s="82"/>
      <c r="I41" s="82"/>
      <c r="J41" s="82"/>
      <c r="K41" s="82"/>
      <c r="L41" s="82"/>
      <c r="M41" s="82"/>
      <c r="N41" s="82"/>
      <c r="O41" s="82"/>
      <c r="P41" s="82"/>
      <c r="Q41" s="82"/>
      <c r="R41" s="82"/>
      <c r="S41" s="82"/>
      <c r="T41" s="82"/>
      <c r="U41" s="82"/>
    </row>
    <row r="42" spans="1:21" ht="16" x14ac:dyDescent="0.2">
      <c r="A42" s="82"/>
      <c r="B42" s="68">
        <v>10</v>
      </c>
      <c r="C42" s="65" t="s">
        <v>648</v>
      </c>
      <c r="D42" s="65" t="s">
        <v>642</v>
      </c>
      <c r="E42" s="66">
        <v>1.0000000000000001E-5</v>
      </c>
      <c r="F42" s="74">
        <v>9.6</v>
      </c>
      <c r="G42" s="82"/>
      <c r="H42" s="82"/>
      <c r="I42" s="82"/>
      <c r="J42" s="82"/>
      <c r="K42" s="82"/>
      <c r="L42" s="82"/>
      <c r="M42" s="82"/>
      <c r="N42" s="82"/>
      <c r="O42" s="82"/>
      <c r="P42" s="82"/>
      <c r="Q42" s="82"/>
      <c r="R42" s="82"/>
      <c r="S42" s="82"/>
      <c r="T42" s="82"/>
      <c r="U42" s="82"/>
    </row>
    <row r="43" spans="1:21" ht="16" x14ac:dyDescent="0.2">
      <c r="A43" s="82"/>
      <c r="B43" s="68">
        <v>11</v>
      </c>
      <c r="C43" s="65" t="s">
        <v>646</v>
      </c>
      <c r="D43" s="65" t="s">
        <v>642</v>
      </c>
      <c r="E43" s="66">
        <v>1.0000000000000001E-5</v>
      </c>
      <c r="F43" s="74">
        <v>9.6</v>
      </c>
      <c r="G43" s="82"/>
      <c r="H43" s="82"/>
      <c r="I43" s="82"/>
      <c r="J43" s="82"/>
      <c r="K43" s="82"/>
      <c r="L43" s="82"/>
      <c r="M43" s="82"/>
      <c r="N43" s="82"/>
      <c r="O43" s="82"/>
      <c r="P43" s="82"/>
      <c r="Q43" s="82"/>
      <c r="R43" s="82"/>
      <c r="S43" s="82"/>
      <c r="T43" s="82"/>
      <c r="U43" s="82"/>
    </row>
    <row r="44" spans="1:21" ht="16" x14ac:dyDescent="0.2">
      <c r="A44" s="82"/>
      <c r="B44" s="68">
        <v>12</v>
      </c>
      <c r="C44" s="65" t="s">
        <v>646</v>
      </c>
      <c r="D44" s="65" t="s">
        <v>642</v>
      </c>
      <c r="E44" s="66">
        <v>9.9999999999999995E-7</v>
      </c>
      <c r="F44" s="74">
        <v>10.5</v>
      </c>
      <c r="G44" s="82"/>
      <c r="H44" s="82"/>
      <c r="I44" s="82"/>
      <c r="J44" s="82"/>
      <c r="K44" s="82"/>
      <c r="L44" s="82"/>
      <c r="M44" s="82"/>
      <c r="N44" s="82"/>
      <c r="O44" s="82"/>
      <c r="P44" s="82"/>
      <c r="Q44" s="82"/>
      <c r="R44" s="82"/>
      <c r="S44" s="82"/>
      <c r="T44" s="82"/>
      <c r="U44" s="82"/>
    </row>
    <row r="45" spans="1:21" ht="16" x14ac:dyDescent="0.2">
      <c r="A45" s="82"/>
      <c r="B45" s="68">
        <v>13</v>
      </c>
      <c r="C45" s="65" t="s">
        <v>647</v>
      </c>
      <c r="D45" s="65" t="s">
        <v>642</v>
      </c>
      <c r="E45" s="66">
        <v>1.0000000000000001E-5</v>
      </c>
      <c r="F45" s="74">
        <v>9.6</v>
      </c>
      <c r="G45" s="82"/>
      <c r="H45" s="82"/>
      <c r="I45" s="82"/>
      <c r="J45" s="82"/>
      <c r="K45" s="82"/>
      <c r="L45" s="82"/>
      <c r="M45" s="82"/>
      <c r="N45" s="82"/>
      <c r="O45" s="82"/>
      <c r="P45" s="82"/>
      <c r="Q45" s="82"/>
      <c r="R45" s="82"/>
      <c r="S45" s="82"/>
      <c r="T45" s="82"/>
      <c r="U45" s="82"/>
    </row>
    <row r="46" spans="1:21" ht="16" x14ac:dyDescent="0.2">
      <c r="A46" s="82"/>
      <c r="B46" s="68">
        <v>14</v>
      </c>
      <c r="C46" s="65" t="s">
        <v>647</v>
      </c>
      <c r="D46" s="65" t="s">
        <v>642</v>
      </c>
      <c r="E46" s="66">
        <v>9.9999999999999995E-7</v>
      </c>
      <c r="F46" s="74">
        <v>10.5</v>
      </c>
      <c r="G46" s="82"/>
      <c r="H46" s="82"/>
      <c r="I46" s="82"/>
      <c r="J46" s="82"/>
      <c r="K46" s="82"/>
      <c r="L46" s="82"/>
      <c r="M46" s="82"/>
      <c r="N46" s="82"/>
      <c r="O46" s="82"/>
      <c r="P46" s="82"/>
      <c r="Q46" s="82"/>
      <c r="R46" s="82"/>
      <c r="S46" s="82"/>
      <c r="T46" s="82"/>
      <c r="U46" s="82"/>
    </row>
    <row r="47" spans="1:21" ht="16" x14ac:dyDescent="0.2">
      <c r="A47" s="82"/>
      <c r="B47" s="68">
        <v>15</v>
      </c>
      <c r="C47" s="65" t="s">
        <v>646</v>
      </c>
      <c r="D47" s="65" t="s">
        <v>649</v>
      </c>
      <c r="E47" s="66">
        <v>9.9999999999999995E-7</v>
      </c>
      <c r="F47" s="74">
        <v>4.8</v>
      </c>
      <c r="G47" s="82"/>
      <c r="H47" s="82"/>
      <c r="I47" s="82"/>
      <c r="J47" s="82"/>
      <c r="K47" s="82"/>
      <c r="L47" s="82"/>
      <c r="M47" s="82"/>
      <c r="N47" s="82"/>
      <c r="O47" s="82"/>
      <c r="P47" s="82"/>
      <c r="Q47" s="82"/>
      <c r="R47" s="82"/>
      <c r="S47" s="82"/>
      <c r="T47" s="82"/>
      <c r="U47" s="82"/>
    </row>
    <row r="48" spans="1:21" ht="16" x14ac:dyDescent="0.2">
      <c r="A48" s="82"/>
      <c r="B48" s="68">
        <v>16</v>
      </c>
      <c r="C48" s="65" t="s">
        <v>646</v>
      </c>
      <c r="D48" s="65" t="s">
        <v>650</v>
      </c>
      <c r="E48" s="66">
        <v>9.9999999999999995E-7</v>
      </c>
      <c r="F48" s="74">
        <v>2.5</v>
      </c>
      <c r="G48" s="82"/>
      <c r="H48" s="82"/>
      <c r="I48" s="82"/>
      <c r="J48" s="82"/>
      <c r="K48" s="82"/>
      <c r="L48" s="82"/>
      <c r="M48" s="82"/>
      <c r="N48" s="82"/>
      <c r="O48" s="82"/>
      <c r="P48" s="82"/>
      <c r="Q48" s="82"/>
      <c r="R48" s="82"/>
      <c r="S48" s="82"/>
      <c r="T48" s="82"/>
      <c r="U48" s="82"/>
    </row>
    <row r="49" spans="1:21" ht="16" x14ac:dyDescent="0.2">
      <c r="A49" s="82"/>
      <c r="B49" s="68">
        <v>17</v>
      </c>
      <c r="C49" s="65" t="s">
        <v>646</v>
      </c>
      <c r="D49" s="65" t="s">
        <v>651</v>
      </c>
      <c r="E49" s="66">
        <v>9.9999999999999995E-8</v>
      </c>
      <c r="F49" s="74">
        <v>0.8</v>
      </c>
      <c r="G49" s="82"/>
      <c r="H49" s="82"/>
      <c r="I49" s="82"/>
      <c r="J49" s="82"/>
      <c r="K49" s="82"/>
      <c r="L49" s="82"/>
      <c r="M49" s="82"/>
      <c r="N49" s="82"/>
      <c r="O49" s="82"/>
      <c r="P49" s="82"/>
      <c r="Q49" s="82"/>
      <c r="R49" s="82"/>
      <c r="S49" s="82"/>
      <c r="T49" s="82"/>
      <c r="U49" s="82"/>
    </row>
    <row r="50" spans="1:21" ht="16" x14ac:dyDescent="0.2">
      <c r="A50" s="82"/>
      <c r="B50" s="68">
        <v>18</v>
      </c>
      <c r="C50" s="65" t="s">
        <v>646</v>
      </c>
      <c r="D50" s="65" t="s">
        <v>334</v>
      </c>
      <c r="E50" s="66">
        <v>9.9999999999999995E-7</v>
      </c>
      <c r="F50" s="719">
        <v>0.75</v>
      </c>
      <c r="G50" s="82"/>
      <c r="H50" s="82"/>
      <c r="I50" s="82"/>
      <c r="J50" s="82"/>
      <c r="K50" s="82"/>
      <c r="L50" s="82"/>
      <c r="M50" s="82"/>
      <c r="N50" s="82"/>
      <c r="O50" s="82"/>
      <c r="P50" s="82"/>
      <c r="Q50" s="82"/>
      <c r="R50" s="82"/>
      <c r="S50" s="82"/>
      <c r="T50" s="82"/>
      <c r="U50" s="82"/>
    </row>
    <row r="51" spans="1:21" ht="16" x14ac:dyDescent="0.2">
      <c r="A51" s="82"/>
      <c r="B51" s="68">
        <v>19</v>
      </c>
      <c r="C51" s="67" t="s">
        <v>652</v>
      </c>
      <c r="D51" s="67" t="s">
        <v>642</v>
      </c>
      <c r="E51" s="76">
        <v>1.0000000000000001E-5</v>
      </c>
      <c r="F51" s="75">
        <v>9.6</v>
      </c>
      <c r="G51" s="82"/>
      <c r="H51" s="82"/>
      <c r="I51" s="82"/>
      <c r="J51" s="82"/>
      <c r="K51" s="82"/>
      <c r="L51" s="82"/>
      <c r="M51" s="82"/>
      <c r="N51" s="82"/>
      <c r="O51" s="82"/>
      <c r="P51" s="82"/>
      <c r="Q51" s="82"/>
      <c r="R51" s="82"/>
      <c r="S51" s="82"/>
      <c r="T51" s="82"/>
      <c r="U51" s="82"/>
    </row>
    <row r="52" spans="1:21" ht="14" thickBot="1" x14ac:dyDescent="0.2">
      <c r="A52" s="82"/>
      <c r="B52" s="82"/>
      <c r="C52" s="82"/>
      <c r="D52" s="244" t="s">
        <v>49</v>
      </c>
      <c r="E52" s="82"/>
      <c r="F52" s="243"/>
      <c r="G52" s="82"/>
      <c r="H52" s="82"/>
      <c r="I52" s="82"/>
      <c r="J52" s="82"/>
      <c r="K52" s="82"/>
      <c r="L52" s="82"/>
      <c r="M52" s="82"/>
      <c r="N52" s="82"/>
      <c r="O52" s="82"/>
      <c r="P52" s="82"/>
      <c r="Q52" s="82"/>
      <c r="R52" s="82"/>
      <c r="S52" s="82"/>
      <c r="T52" s="82"/>
      <c r="U52" s="82"/>
    </row>
    <row r="53" spans="1:21" ht="17" thickBot="1" x14ac:dyDescent="0.25">
      <c r="A53" s="82"/>
      <c r="B53" s="82"/>
      <c r="C53" s="82"/>
      <c r="D53" s="703" t="s">
        <v>654</v>
      </c>
      <c r="E53" s="704">
        <v>1</v>
      </c>
      <c r="F53" s="69" t="s">
        <v>554</v>
      </c>
      <c r="G53" s="82"/>
      <c r="H53" s="82"/>
      <c r="I53" s="82"/>
      <c r="J53" s="82"/>
      <c r="K53" s="82"/>
      <c r="L53" s="82"/>
      <c r="M53" s="82"/>
      <c r="N53" s="82"/>
      <c r="O53" s="82"/>
      <c r="P53" s="82"/>
      <c r="Q53" s="82"/>
      <c r="R53" s="82"/>
      <c r="S53" s="82"/>
      <c r="T53" s="82"/>
      <c r="U53" s="82"/>
    </row>
    <row r="54" spans="1:21" x14ac:dyDescent="0.15">
      <c r="A54" s="82"/>
      <c r="B54" s="351" t="s">
        <v>868</v>
      </c>
      <c r="C54" s="82"/>
      <c r="D54" s="82"/>
      <c r="E54" s="82"/>
      <c r="F54" s="82"/>
      <c r="G54" s="82"/>
      <c r="H54" s="82"/>
      <c r="I54" s="82"/>
      <c r="J54" s="82"/>
      <c r="K54" s="82"/>
      <c r="L54" s="82"/>
      <c r="M54" s="82"/>
      <c r="N54" s="82"/>
      <c r="O54" s="82"/>
      <c r="P54" s="82"/>
      <c r="Q54" s="82"/>
      <c r="R54" s="82"/>
      <c r="S54" s="82"/>
      <c r="T54" s="82"/>
      <c r="U54" s="82"/>
    </row>
    <row r="55" spans="1:21" x14ac:dyDescent="0.15">
      <c r="A55" s="82"/>
      <c r="B55" s="82"/>
      <c r="C55" s="82"/>
      <c r="D55" s="82"/>
      <c r="E55" s="82"/>
      <c r="F55" s="82"/>
      <c r="G55" s="82"/>
      <c r="H55" s="82"/>
      <c r="I55" s="82"/>
      <c r="J55" s="82"/>
      <c r="K55" s="82"/>
      <c r="L55" s="82"/>
      <c r="M55" s="82"/>
      <c r="N55" s="82"/>
      <c r="O55" s="82"/>
      <c r="P55" s="82"/>
      <c r="Q55" s="82"/>
      <c r="R55" s="82"/>
      <c r="S55" s="82"/>
      <c r="T55" s="82"/>
      <c r="U55" s="82"/>
    </row>
    <row r="56" spans="1:21" x14ac:dyDescent="0.15">
      <c r="A56" s="82"/>
      <c r="B56" s="82"/>
      <c r="C56" s="82"/>
      <c r="D56" s="82"/>
      <c r="E56" s="82"/>
      <c r="F56" s="82"/>
      <c r="G56" s="82"/>
      <c r="H56" s="82"/>
      <c r="I56" s="82"/>
      <c r="J56" s="82"/>
      <c r="K56" s="82"/>
      <c r="L56" s="82"/>
      <c r="M56" s="82"/>
      <c r="N56" s="82"/>
      <c r="O56" s="82"/>
      <c r="P56" s="82"/>
      <c r="Q56" s="82"/>
      <c r="R56" s="82"/>
      <c r="S56" s="82"/>
      <c r="T56" s="82"/>
      <c r="U56" s="82"/>
    </row>
    <row r="57" spans="1:21" x14ac:dyDescent="0.15">
      <c r="A57" s="82"/>
      <c r="B57" s="82"/>
      <c r="C57" s="82"/>
      <c r="D57" s="82"/>
      <c r="E57" s="82"/>
      <c r="F57" s="82"/>
      <c r="G57" s="82"/>
      <c r="H57" s="82"/>
      <c r="I57" s="82"/>
      <c r="J57" s="82"/>
      <c r="K57" s="82"/>
      <c r="L57" s="82"/>
      <c r="M57" s="82"/>
      <c r="N57" s="82"/>
      <c r="O57" s="82"/>
      <c r="P57" s="82"/>
      <c r="Q57" s="82"/>
      <c r="R57" s="82"/>
      <c r="S57" s="82"/>
      <c r="T57" s="82"/>
      <c r="U57" s="82"/>
    </row>
    <row r="58" spans="1:21" x14ac:dyDescent="0.15">
      <c r="A58" s="82"/>
      <c r="B58" s="82"/>
      <c r="C58" s="82"/>
      <c r="D58" s="82"/>
      <c r="E58" s="82"/>
      <c r="F58" s="82"/>
      <c r="G58" s="82"/>
      <c r="H58" s="82"/>
      <c r="I58" s="82"/>
      <c r="J58" s="82"/>
      <c r="K58" s="82"/>
      <c r="L58" s="82"/>
      <c r="M58" s="82"/>
      <c r="N58" s="82"/>
      <c r="O58" s="82"/>
      <c r="P58" s="82"/>
      <c r="Q58" s="82"/>
      <c r="R58" s="82"/>
      <c r="S58" s="82"/>
      <c r="T58" s="82"/>
      <c r="U58" s="82"/>
    </row>
    <row r="59" spans="1:21" x14ac:dyDescent="0.15">
      <c r="A59" s="82"/>
      <c r="B59" s="82"/>
      <c r="C59" s="82"/>
      <c r="D59" s="82"/>
      <c r="E59" s="82"/>
      <c r="F59" s="82"/>
      <c r="G59" s="82"/>
      <c r="H59" s="82"/>
      <c r="I59" s="82"/>
      <c r="J59" s="82"/>
      <c r="K59" s="82"/>
      <c r="L59" s="82"/>
      <c r="M59" s="82"/>
      <c r="N59" s="82"/>
      <c r="O59" s="82"/>
      <c r="P59" s="82"/>
      <c r="Q59" s="82"/>
      <c r="R59" s="82"/>
      <c r="S59" s="82"/>
      <c r="T59" s="82"/>
      <c r="U59" s="82"/>
    </row>
    <row r="60" spans="1:21" x14ac:dyDescent="0.15">
      <c r="A60" s="82"/>
      <c r="B60" s="82"/>
      <c r="C60" s="82"/>
      <c r="D60" s="82"/>
      <c r="E60" s="82"/>
      <c r="F60" s="82"/>
      <c r="G60" s="82"/>
      <c r="H60" s="82"/>
      <c r="I60" s="82"/>
      <c r="J60" s="82"/>
      <c r="K60" s="82"/>
      <c r="L60" s="82"/>
      <c r="M60" s="82"/>
      <c r="N60" s="82"/>
      <c r="O60" s="82"/>
      <c r="P60" s="82"/>
      <c r="Q60" s="82"/>
      <c r="R60" s="82"/>
      <c r="S60" s="82"/>
      <c r="T60" s="82"/>
      <c r="U60" s="82"/>
    </row>
    <row r="61" spans="1:21" x14ac:dyDescent="0.15">
      <c r="A61" s="82"/>
      <c r="B61" s="82"/>
      <c r="C61" s="82"/>
      <c r="D61" s="82" t="s">
        <v>512</v>
      </c>
      <c r="E61" s="82"/>
      <c r="F61" s="82"/>
      <c r="G61" s="82"/>
      <c r="H61" s="82"/>
      <c r="I61" s="82"/>
      <c r="J61" s="82"/>
      <c r="K61" s="82"/>
      <c r="L61" s="82"/>
      <c r="M61" s="82"/>
      <c r="N61" s="82"/>
      <c r="O61" s="82"/>
      <c r="P61" s="82"/>
      <c r="Q61" s="82"/>
      <c r="R61" s="82"/>
      <c r="S61" s="82"/>
      <c r="T61" s="82"/>
      <c r="U61" s="82"/>
    </row>
    <row r="62" spans="1:21" x14ac:dyDescent="0.15">
      <c r="A62" s="82"/>
      <c r="B62" s="82"/>
      <c r="C62" s="82"/>
      <c r="D62" s="82"/>
      <c r="E62" s="82"/>
      <c r="F62" s="82"/>
      <c r="G62" s="82"/>
      <c r="H62" s="82"/>
      <c r="I62" s="82"/>
      <c r="J62" s="82"/>
      <c r="K62" s="82"/>
      <c r="L62" s="82"/>
      <c r="M62" s="82"/>
      <c r="N62" s="82"/>
      <c r="O62" s="82"/>
      <c r="P62" s="82"/>
      <c r="Q62" s="82"/>
      <c r="R62" s="82"/>
      <c r="S62" s="82"/>
      <c r="T62" s="82"/>
      <c r="U62" s="82"/>
    </row>
    <row r="63" spans="1:21" x14ac:dyDescent="0.15">
      <c r="A63" s="82"/>
      <c r="B63" s="82"/>
      <c r="C63" s="82"/>
      <c r="D63" s="82"/>
      <c r="E63" s="82"/>
      <c r="F63" s="82"/>
      <c r="G63" s="82"/>
      <c r="H63" s="82"/>
      <c r="I63" s="82"/>
      <c r="J63" s="82"/>
      <c r="K63" s="82"/>
      <c r="L63" s="82"/>
      <c r="M63" s="82"/>
      <c r="N63" s="82"/>
      <c r="O63" s="82"/>
      <c r="P63" s="82"/>
      <c r="Q63" s="82"/>
      <c r="R63" s="82"/>
      <c r="S63" s="82"/>
      <c r="T63" s="82"/>
      <c r="U63" s="82"/>
    </row>
    <row r="64" spans="1:21" x14ac:dyDescent="0.15">
      <c r="A64" s="82"/>
      <c r="B64" s="82"/>
      <c r="C64" s="82"/>
      <c r="D64" s="82"/>
      <c r="E64" s="82"/>
      <c r="F64" s="82"/>
      <c r="G64" s="82"/>
      <c r="H64" s="82"/>
      <c r="I64" s="82"/>
      <c r="J64" s="82"/>
      <c r="K64" s="82"/>
      <c r="L64" s="82"/>
      <c r="M64" s="82"/>
      <c r="N64" s="82"/>
      <c r="O64" s="82"/>
      <c r="P64" s="82"/>
      <c r="Q64" s="82"/>
      <c r="R64" s="82"/>
      <c r="S64" s="82"/>
      <c r="T64" s="82"/>
      <c r="U64" s="82"/>
    </row>
    <row r="65" spans="1:21" x14ac:dyDescent="0.15">
      <c r="A65" s="82"/>
      <c r="B65" s="82"/>
      <c r="C65" s="82"/>
      <c r="D65" s="82"/>
      <c r="E65" s="82"/>
      <c r="F65" s="82"/>
      <c r="G65" s="82"/>
      <c r="H65" s="82"/>
      <c r="I65" s="82"/>
      <c r="J65" s="82"/>
      <c r="K65" s="82"/>
      <c r="L65" s="82"/>
      <c r="M65" s="82"/>
      <c r="N65" s="82"/>
      <c r="O65" s="82"/>
      <c r="P65" s="82"/>
      <c r="Q65" s="82"/>
      <c r="R65" s="82"/>
      <c r="S65" s="82"/>
      <c r="T65" s="82"/>
      <c r="U65" s="82"/>
    </row>
    <row r="66" spans="1:21" x14ac:dyDescent="0.15">
      <c r="A66" s="82"/>
      <c r="B66" s="82"/>
      <c r="C66" s="82"/>
      <c r="D66" s="82"/>
      <c r="E66" s="82"/>
      <c r="F66" s="82"/>
      <c r="G66" s="82"/>
      <c r="H66" s="82"/>
      <c r="I66" s="82"/>
      <c r="J66" s="82"/>
      <c r="K66" s="82"/>
      <c r="L66" s="82"/>
      <c r="M66" s="82"/>
      <c r="N66" s="82"/>
      <c r="O66" s="82"/>
      <c r="P66" s="82"/>
      <c r="Q66" s="82"/>
      <c r="R66" s="82"/>
      <c r="S66" s="82"/>
      <c r="T66" s="82"/>
      <c r="U66" s="82"/>
    </row>
    <row r="67" spans="1:21" x14ac:dyDescent="0.15">
      <c r="A67" s="82"/>
      <c r="B67" s="82"/>
      <c r="C67" s="82"/>
      <c r="D67" s="82"/>
      <c r="E67" s="82"/>
      <c r="F67" s="82"/>
      <c r="G67" s="82"/>
      <c r="H67" s="82"/>
    </row>
    <row r="68" spans="1:21" x14ac:dyDescent="0.15">
      <c r="A68" s="82"/>
      <c r="B68" s="82"/>
      <c r="C68" s="82"/>
      <c r="D68" s="82"/>
      <c r="E68" s="82"/>
      <c r="F68" s="82"/>
      <c r="G68" s="82"/>
      <c r="H68" s="82"/>
    </row>
    <row r="69" spans="1:21" x14ac:dyDescent="0.15">
      <c r="A69" s="82"/>
      <c r="B69" s="82"/>
      <c r="C69" s="82"/>
      <c r="D69" s="82"/>
      <c r="E69" s="82"/>
      <c r="F69" s="82"/>
      <c r="G69" s="82"/>
      <c r="H69" s="82"/>
    </row>
    <row r="70" spans="1:21" x14ac:dyDescent="0.15">
      <c r="A70" s="82"/>
      <c r="B70" s="82"/>
      <c r="C70" s="82"/>
      <c r="D70" s="82"/>
      <c r="E70" s="82"/>
      <c r="F70" s="82"/>
      <c r="G70" s="82"/>
      <c r="H70" s="82"/>
    </row>
    <row r="71" spans="1:21" x14ac:dyDescent="0.15">
      <c r="A71" s="82"/>
      <c r="B71" s="82"/>
      <c r="C71" s="82"/>
      <c r="D71" s="82"/>
      <c r="E71" s="82"/>
      <c r="F71" s="82"/>
      <c r="G71" s="82"/>
      <c r="H71" s="82"/>
    </row>
    <row r="72" spans="1:21" x14ac:dyDescent="0.15">
      <c r="A72" s="82"/>
      <c r="B72" s="82"/>
      <c r="C72" s="82"/>
      <c r="D72" s="82"/>
      <c r="E72" s="82"/>
      <c r="F72" s="82"/>
      <c r="G72" s="82"/>
      <c r="H72" s="82"/>
    </row>
    <row r="73" spans="1:21" x14ac:dyDescent="0.15">
      <c r="A73" s="82"/>
      <c r="B73" s="82"/>
      <c r="C73" s="82"/>
      <c r="D73" s="82"/>
      <c r="E73" s="82"/>
      <c r="F73" s="82"/>
      <c r="G73" s="82"/>
      <c r="H73" s="82"/>
    </row>
    <row r="74" spans="1:21" x14ac:dyDescent="0.15">
      <c r="A74" s="82"/>
      <c r="B74" s="82"/>
      <c r="C74" s="82"/>
      <c r="D74" s="82"/>
      <c r="E74" s="82"/>
      <c r="F74" s="82"/>
      <c r="G74" s="82"/>
      <c r="H74" s="82"/>
    </row>
    <row r="75" spans="1:21" x14ac:dyDescent="0.15">
      <c r="A75" s="82"/>
      <c r="B75" s="82"/>
      <c r="C75" s="82"/>
      <c r="D75" s="82"/>
      <c r="E75" s="82"/>
      <c r="F75" s="82"/>
      <c r="G75" s="82"/>
      <c r="H75" s="82"/>
    </row>
    <row r="76" spans="1:21" x14ac:dyDescent="0.15">
      <c r="A76" s="82"/>
      <c r="B76" s="82"/>
      <c r="C76" s="82"/>
      <c r="D76" s="82"/>
      <c r="E76" s="82"/>
      <c r="F76" s="82"/>
      <c r="G76" s="82"/>
      <c r="H76" s="82"/>
    </row>
    <row r="77" spans="1:21" x14ac:dyDescent="0.15">
      <c r="A77" s="82"/>
      <c r="B77" s="82"/>
      <c r="C77" s="82"/>
      <c r="D77" s="82"/>
      <c r="E77" s="82"/>
      <c r="F77" s="82"/>
      <c r="G77" s="82"/>
      <c r="H77" s="82"/>
    </row>
    <row r="78" spans="1:21" x14ac:dyDescent="0.15">
      <c r="A78" s="82"/>
      <c r="B78" s="82"/>
      <c r="C78" s="82"/>
      <c r="D78" s="82"/>
      <c r="E78" s="82"/>
      <c r="F78" s="82"/>
      <c r="G78" s="82"/>
      <c r="H78" s="82"/>
    </row>
    <row r="79" spans="1:21" x14ac:dyDescent="0.15">
      <c r="A79" s="82"/>
      <c r="B79" s="82"/>
      <c r="C79" s="82"/>
      <c r="D79" s="82"/>
      <c r="E79" s="82"/>
      <c r="F79" s="82"/>
      <c r="G79" s="82"/>
      <c r="H79" s="82"/>
    </row>
    <row r="80" spans="1:21" x14ac:dyDescent="0.15">
      <c r="A80" s="82"/>
      <c r="B80" s="82"/>
      <c r="C80" s="82"/>
      <c r="D80" s="82"/>
      <c r="E80" s="82"/>
      <c r="F80" s="82"/>
      <c r="G80" s="82"/>
      <c r="H80" s="82"/>
    </row>
    <row r="81" spans="1:8" x14ac:dyDescent="0.15">
      <c r="A81" s="82"/>
      <c r="B81" s="82"/>
      <c r="C81" s="82"/>
      <c r="D81" s="82"/>
      <c r="E81" s="82"/>
      <c r="F81" s="82"/>
      <c r="G81" s="82"/>
      <c r="H81" s="82"/>
    </row>
    <row r="82" spans="1:8" x14ac:dyDescent="0.15">
      <c r="A82" s="82"/>
      <c r="B82" s="82"/>
      <c r="C82" s="82"/>
      <c r="D82" s="82"/>
      <c r="E82" s="82"/>
      <c r="F82" s="82"/>
      <c r="G82" s="82"/>
      <c r="H82" s="82"/>
    </row>
    <row r="83" spans="1:8" x14ac:dyDescent="0.15">
      <c r="A83" s="82"/>
      <c r="B83" s="82"/>
      <c r="C83" s="82"/>
      <c r="D83" s="82"/>
      <c r="E83" s="82"/>
      <c r="F83" s="82"/>
      <c r="G83" s="82"/>
      <c r="H83" s="82"/>
    </row>
    <row r="84" spans="1:8" x14ac:dyDescent="0.15">
      <c r="A84" s="82"/>
      <c r="B84" s="82"/>
      <c r="C84" s="82"/>
      <c r="D84" s="82"/>
      <c r="E84" s="82"/>
      <c r="F84" s="82"/>
      <c r="G84" s="82"/>
      <c r="H84" s="82"/>
    </row>
    <row r="85" spans="1:8" x14ac:dyDescent="0.15">
      <c r="A85" s="82"/>
      <c r="B85" s="82"/>
      <c r="C85" s="82"/>
      <c r="D85" s="82"/>
      <c r="E85" s="82"/>
      <c r="F85" s="82"/>
      <c r="G85" s="82"/>
      <c r="H85" s="82"/>
    </row>
    <row r="86" spans="1:8" x14ac:dyDescent="0.15">
      <c r="A86" s="82"/>
      <c r="B86" s="82"/>
      <c r="C86" s="82"/>
      <c r="D86" s="82"/>
      <c r="E86" s="82"/>
      <c r="F86" s="82"/>
      <c r="G86" s="82"/>
      <c r="H86" s="82"/>
    </row>
    <row r="87" spans="1:8" x14ac:dyDescent="0.15">
      <c r="A87" s="82"/>
      <c r="B87" s="82"/>
      <c r="C87" s="82"/>
      <c r="D87" s="82"/>
      <c r="E87" s="82"/>
      <c r="F87" s="82"/>
      <c r="G87" s="82"/>
      <c r="H87" s="82"/>
    </row>
    <row r="88" spans="1:8" x14ac:dyDescent="0.15">
      <c r="A88" s="82"/>
      <c r="B88" s="82"/>
      <c r="C88" s="82"/>
      <c r="D88" s="82"/>
      <c r="E88" s="82"/>
      <c r="F88" s="82"/>
      <c r="G88" s="82"/>
      <c r="H88" s="82"/>
    </row>
    <row r="89" spans="1:8" x14ac:dyDescent="0.15">
      <c r="A89" s="82"/>
      <c r="B89" s="82"/>
      <c r="C89" s="82"/>
      <c r="D89" s="82"/>
      <c r="E89" s="82"/>
      <c r="F89" s="82"/>
      <c r="G89" s="82"/>
      <c r="H89" s="82"/>
    </row>
    <row r="90" spans="1:8" x14ac:dyDescent="0.15">
      <c r="A90" s="82"/>
      <c r="B90" s="82"/>
      <c r="C90" s="82"/>
      <c r="D90" s="82"/>
      <c r="E90" s="82"/>
      <c r="F90" s="82"/>
      <c r="G90" s="82"/>
      <c r="H90" s="82"/>
    </row>
    <row r="91" spans="1:8" x14ac:dyDescent="0.15">
      <c r="A91" s="82"/>
      <c r="B91" s="82"/>
      <c r="C91" s="82"/>
      <c r="D91" s="82"/>
      <c r="E91" s="82"/>
      <c r="F91" s="82"/>
      <c r="G91" s="82"/>
      <c r="H91" s="82"/>
    </row>
    <row r="92" spans="1:8" x14ac:dyDescent="0.15">
      <c r="A92" s="82"/>
      <c r="B92" s="82"/>
      <c r="C92" s="82"/>
      <c r="D92" s="82"/>
      <c r="E92" s="82"/>
      <c r="F92" s="82"/>
      <c r="G92" s="82"/>
      <c r="H92" s="82"/>
    </row>
    <row r="93" spans="1:8" x14ac:dyDescent="0.15">
      <c r="A93" s="82"/>
      <c r="B93" s="82"/>
      <c r="C93" s="82"/>
      <c r="D93" s="82"/>
      <c r="E93" s="82"/>
      <c r="F93" s="82"/>
      <c r="G93" s="82"/>
      <c r="H93" s="82"/>
    </row>
    <row r="94" spans="1:8" x14ac:dyDescent="0.15">
      <c r="A94" s="82"/>
      <c r="B94" s="82"/>
      <c r="C94" s="82"/>
      <c r="D94" s="82"/>
      <c r="E94" s="82"/>
      <c r="F94" s="82"/>
      <c r="G94" s="82"/>
      <c r="H94" s="82"/>
    </row>
    <row r="95" spans="1:8" x14ac:dyDescent="0.15">
      <c r="A95" s="82"/>
      <c r="B95" s="82"/>
      <c r="C95" s="82"/>
      <c r="D95" s="82"/>
      <c r="E95" s="82"/>
      <c r="F95" s="82"/>
      <c r="G95" s="82"/>
      <c r="H95" s="82"/>
    </row>
    <row r="96" spans="1:8" x14ac:dyDescent="0.15">
      <c r="A96" s="82"/>
      <c r="B96" s="82"/>
      <c r="C96" s="82"/>
      <c r="D96" s="82"/>
      <c r="E96" s="82"/>
      <c r="F96" s="82"/>
      <c r="G96" s="82"/>
      <c r="H96" s="82"/>
    </row>
    <row r="97" spans="1:8" x14ac:dyDescent="0.15">
      <c r="A97" s="82"/>
      <c r="B97" s="82"/>
      <c r="C97" s="82"/>
      <c r="D97" s="82"/>
      <c r="E97" s="82"/>
      <c r="F97" s="82"/>
      <c r="G97" s="82"/>
      <c r="H97" s="82"/>
    </row>
    <row r="98" spans="1:8" x14ac:dyDescent="0.15">
      <c r="A98" s="82"/>
      <c r="B98" s="82"/>
      <c r="C98" s="82"/>
      <c r="D98" s="82"/>
      <c r="E98" s="82"/>
      <c r="F98" s="82"/>
      <c r="G98" s="82"/>
      <c r="H98" s="82"/>
    </row>
    <row r="99" spans="1:8" x14ac:dyDescent="0.15">
      <c r="A99" s="82"/>
      <c r="B99" s="82"/>
      <c r="C99" s="82"/>
      <c r="D99" s="82"/>
      <c r="E99" s="82"/>
      <c r="F99" s="82"/>
      <c r="G99" s="82"/>
      <c r="H99" s="82"/>
    </row>
    <row r="100" spans="1:8" x14ac:dyDescent="0.15">
      <c r="A100" s="82"/>
      <c r="B100" s="82"/>
      <c r="C100" s="82"/>
      <c r="D100" s="82"/>
      <c r="E100" s="82"/>
      <c r="F100" s="82"/>
      <c r="G100" s="82"/>
      <c r="H100" s="82"/>
    </row>
    <row r="101" spans="1:8" x14ac:dyDescent="0.15">
      <c r="A101" s="82"/>
      <c r="B101" s="82"/>
      <c r="C101" s="82"/>
      <c r="D101" s="82"/>
      <c r="E101" s="82"/>
      <c r="F101" s="82"/>
      <c r="G101" s="82"/>
      <c r="H101" s="82"/>
    </row>
    <row r="102" spans="1:8" x14ac:dyDescent="0.15">
      <c r="A102" s="82"/>
      <c r="B102" s="82"/>
      <c r="C102" s="82"/>
      <c r="D102" s="82"/>
      <c r="E102" s="82"/>
      <c r="F102" s="82"/>
      <c r="G102" s="82"/>
      <c r="H102" s="82"/>
    </row>
    <row r="103" spans="1:8" x14ac:dyDescent="0.15">
      <c r="A103" s="82"/>
      <c r="B103" s="82"/>
      <c r="C103" s="82"/>
      <c r="D103" s="82"/>
      <c r="E103" s="82"/>
      <c r="F103" s="82"/>
      <c r="G103" s="82"/>
      <c r="H103" s="82"/>
    </row>
    <row r="104" spans="1:8" x14ac:dyDescent="0.15">
      <c r="A104" s="82"/>
      <c r="B104" s="82"/>
      <c r="C104" s="82"/>
      <c r="D104" s="82"/>
      <c r="E104" s="82"/>
      <c r="F104" s="82"/>
      <c r="G104" s="82"/>
      <c r="H104" s="82"/>
    </row>
    <row r="105" spans="1:8" x14ac:dyDescent="0.15">
      <c r="A105" s="82"/>
      <c r="B105" s="82"/>
      <c r="C105" s="82"/>
      <c r="D105" s="82"/>
      <c r="E105" s="82"/>
      <c r="F105" s="82"/>
      <c r="G105" s="82"/>
      <c r="H105" s="82"/>
    </row>
    <row r="106" spans="1:8" x14ac:dyDescent="0.15">
      <c r="A106" s="82"/>
      <c r="B106" s="82"/>
      <c r="C106" s="82"/>
      <c r="D106" s="82"/>
      <c r="E106" s="82"/>
      <c r="F106" s="82"/>
      <c r="G106" s="82"/>
      <c r="H106" s="82"/>
    </row>
    <row r="107" spans="1:8" x14ac:dyDescent="0.15">
      <c r="A107" s="82"/>
      <c r="B107" s="82"/>
      <c r="C107" s="82"/>
      <c r="D107" s="82"/>
      <c r="E107" s="82"/>
      <c r="F107" s="82"/>
      <c r="G107" s="82"/>
      <c r="H107" s="82"/>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indexed="11"/>
  </sheetPr>
  <dimension ref="A1:R70"/>
  <sheetViews>
    <sheetView zoomScale="119" workbookViewId="0">
      <selection activeCell="D3" sqref="D3"/>
    </sheetView>
  </sheetViews>
  <sheetFormatPr baseColWidth="10" defaultColWidth="10.6640625" defaultRowHeight="13" outlineLevelRow="1" outlineLevelCol="1" x14ac:dyDescent="0.15"/>
  <cols>
    <col min="1" max="1" width="41.33203125" customWidth="1"/>
    <col min="2" max="2" width="15" customWidth="1"/>
    <col min="3" max="3" width="8.83203125" customWidth="1"/>
    <col min="4" max="4" width="19.33203125" customWidth="1" outlineLevel="1"/>
    <col min="5" max="7" width="9.1640625" customWidth="1" outlineLevel="1"/>
    <col min="8" max="8" width="12" customWidth="1" outlineLevel="1"/>
    <col min="9" max="9" width="38.1640625" customWidth="1" outlineLevel="1"/>
    <col min="10" max="10" width="38" customWidth="1"/>
    <col min="11" max="256" width="8.83203125" customWidth="1"/>
  </cols>
  <sheetData>
    <row r="1" spans="1:18" ht="18" x14ac:dyDescent="0.2">
      <c r="A1" s="44" t="str">
        <f>'Title Page'!F3</f>
        <v>3UCubed</v>
      </c>
      <c r="B1" s="754" t="s">
        <v>868</v>
      </c>
      <c r="C1" s="45"/>
      <c r="D1" s="681" t="str">
        <f>'Title Page'!F3</f>
        <v>3UCubed</v>
      </c>
      <c r="E1" s="57" t="s">
        <v>512</v>
      </c>
      <c r="F1" s="57" t="s">
        <v>511</v>
      </c>
      <c r="G1" s="57"/>
      <c r="H1" s="57"/>
      <c r="I1" s="45"/>
      <c r="J1" s="45"/>
      <c r="K1" s="45"/>
      <c r="L1" s="45"/>
      <c r="M1" s="45"/>
      <c r="N1" s="45"/>
      <c r="O1" s="45"/>
      <c r="P1" s="45"/>
      <c r="Q1" s="45"/>
      <c r="R1" s="45"/>
    </row>
    <row r="2" spans="1:18" ht="20" x14ac:dyDescent="0.2">
      <c r="A2" s="46" t="s">
        <v>598</v>
      </c>
      <c r="B2" s="45"/>
      <c r="C2" s="45"/>
      <c r="D2" s="57" t="str">
        <f>'Title Page'!G1</f>
        <v xml:space="preserve"> Version: 2.5.3</v>
      </c>
      <c r="E2" s="57"/>
      <c r="F2" s="907">
        <f ca="1">'Title Page'!F23</f>
        <v>45769</v>
      </c>
      <c r="G2" s="57"/>
      <c r="H2" s="57"/>
      <c r="I2" s="45"/>
      <c r="J2" s="45"/>
      <c r="K2" s="45"/>
      <c r="L2" s="45"/>
      <c r="M2" s="45"/>
      <c r="N2" s="45"/>
      <c r="O2" s="45"/>
      <c r="P2" s="45"/>
      <c r="Q2" s="45"/>
      <c r="R2" s="45"/>
    </row>
    <row r="3" spans="1:18" x14ac:dyDescent="0.15">
      <c r="A3" s="45"/>
      <c r="B3" s="45"/>
      <c r="C3" s="45"/>
      <c r="D3" s="45"/>
      <c r="E3" s="45"/>
      <c r="F3" s="45"/>
      <c r="G3" s="45"/>
      <c r="H3" s="45"/>
      <c r="I3" s="45"/>
      <c r="J3" s="45"/>
      <c r="K3" s="45"/>
      <c r="L3" s="45"/>
      <c r="M3" s="45"/>
      <c r="N3" s="45"/>
      <c r="O3" s="45"/>
      <c r="P3" s="45"/>
      <c r="Q3" s="45"/>
      <c r="R3" s="45"/>
    </row>
    <row r="4" spans="1:18" x14ac:dyDescent="0.15">
      <c r="A4" s="30" t="s">
        <v>513</v>
      </c>
      <c r="B4" s="30" t="s">
        <v>514</v>
      </c>
      <c r="C4" s="30" t="s">
        <v>560</v>
      </c>
      <c r="D4" s="30" t="s">
        <v>561</v>
      </c>
      <c r="E4" s="38"/>
      <c r="F4" s="38"/>
      <c r="G4" s="38"/>
      <c r="H4" s="38"/>
      <c r="I4" s="38"/>
      <c r="J4" s="38"/>
      <c r="K4" s="38"/>
      <c r="L4" s="38"/>
      <c r="M4" s="38"/>
      <c r="N4" s="38"/>
      <c r="O4" s="38"/>
      <c r="P4" s="38"/>
      <c r="Q4" s="38"/>
      <c r="R4" s="38"/>
    </row>
    <row r="5" spans="1:18" x14ac:dyDescent="0.15">
      <c r="A5" s="61" t="s">
        <v>570</v>
      </c>
      <c r="B5" s="24"/>
      <c r="C5" s="24"/>
      <c r="D5" s="24"/>
      <c r="E5" s="24"/>
      <c r="F5" s="24"/>
      <c r="G5" s="24"/>
      <c r="H5" s="24"/>
      <c r="I5" s="24"/>
      <c r="J5" s="24"/>
      <c r="K5" s="24"/>
      <c r="L5" s="24"/>
      <c r="M5" s="24"/>
      <c r="N5" s="24"/>
      <c r="O5" s="24"/>
      <c r="P5" s="24"/>
      <c r="Q5" s="24"/>
      <c r="R5" s="24"/>
    </row>
    <row r="6" spans="1:18" x14ac:dyDescent="0.15">
      <c r="A6" s="87" t="s">
        <v>102</v>
      </c>
      <c r="B6" s="437">
        <f>Transmitters!E16</f>
        <v>40</v>
      </c>
      <c r="C6" s="87" t="s">
        <v>578</v>
      </c>
      <c r="D6" s="137" t="s">
        <v>105</v>
      </c>
      <c r="E6" s="137"/>
      <c r="F6" s="137"/>
      <c r="G6" s="137"/>
      <c r="H6" s="137"/>
      <c r="I6" s="137"/>
      <c r="J6" s="432" t="s">
        <v>134</v>
      </c>
      <c r="K6" s="425"/>
      <c r="L6" s="424"/>
      <c r="M6" s="87"/>
      <c r="N6" s="87"/>
      <c r="O6" s="87"/>
      <c r="P6" s="87"/>
      <c r="Q6" s="87"/>
      <c r="R6" s="87"/>
    </row>
    <row r="7" spans="1:18" x14ac:dyDescent="0.15">
      <c r="A7" s="101" t="s">
        <v>584</v>
      </c>
      <c r="B7" s="126">
        <f>10*LOG10(B6)</f>
        <v>16.020599913279622</v>
      </c>
      <c r="C7" s="87" t="s">
        <v>579</v>
      </c>
      <c r="D7" s="137" t="s">
        <v>96</v>
      </c>
      <c r="E7" s="137"/>
      <c r="F7" s="137"/>
      <c r="G7" s="137"/>
      <c r="H7" s="137"/>
      <c r="I7" s="137"/>
      <c r="J7" s="87"/>
      <c r="K7" s="87"/>
      <c r="L7" s="87"/>
      <c r="M7" s="87"/>
      <c r="N7" s="87"/>
      <c r="O7" s="87"/>
      <c r="P7" s="87"/>
      <c r="Q7" s="87"/>
      <c r="R7" s="87"/>
    </row>
    <row r="8" spans="1:18" x14ac:dyDescent="0.15">
      <c r="A8" s="101" t="s">
        <v>585</v>
      </c>
      <c r="B8" s="353">
        <f>B7+30</f>
        <v>46.020599913279625</v>
      </c>
      <c r="C8" s="87" t="s">
        <v>580</v>
      </c>
      <c r="D8" s="137" t="s">
        <v>97</v>
      </c>
      <c r="E8" s="137"/>
      <c r="F8" s="137"/>
      <c r="G8" s="137"/>
      <c r="H8" s="137"/>
      <c r="I8" s="137"/>
      <c r="J8" s="87"/>
      <c r="K8" s="87"/>
      <c r="L8" s="87"/>
      <c r="M8" s="87"/>
      <c r="N8" s="87"/>
      <c r="O8" s="87"/>
      <c r="P8" s="87"/>
      <c r="Q8" s="87"/>
      <c r="R8" s="87"/>
    </row>
    <row r="9" spans="1:18" x14ac:dyDescent="0.15">
      <c r="A9" s="87" t="s">
        <v>103</v>
      </c>
      <c r="B9" s="437">
        <f>Transmitters!I35</f>
        <v>1</v>
      </c>
      <c r="C9" s="87" t="s">
        <v>554</v>
      </c>
      <c r="D9" s="137" t="s">
        <v>98</v>
      </c>
      <c r="E9" s="137"/>
      <c r="F9" s="137"/>
      <c r="G9" s="137"/>
      <c r="H9" s="137"/>
      <c r="I9" s="137"/>
      <c r="J9" s="87"/>
      <c r="K9" s="87"/>
      <c r="L9" s="87"/>
      <c r="M9" s="87"/>
      <c r="N9" s="87"/>
      <c r="O9" s="87"/>
      <c r="P9" s="87"/>
      <c r="Q9" s="87"/>
      <c r="R9" s="87"/>
    </row>
    <row r="10" spans="1:18" x14ac:dyDescent="0.15">
      <c r="A10" s="87" t="s">
        <v>563</v>
      </c>
      <c r="B10" s="437">
        <f>INDEX('Antenna Gain'!N13:N16,'Antenna Gain'!E11,1)</f>
        <v>15.25</v>
      </c>
      <c r="C10" s="87" t="s">
        <v>762</v>
      </c>
      <c r="D10" s="137" t="s">
        <v>444</v>
      </c>
      <c r="E10" s="137"/>
      <c r="F10" s="137"/>
      <c r="G10" s="137"/>
      <c r="H10" s="137"/>
      <c r="I10" s="137"/>
      <c r="J10" s="87"/>
      <c r="K10" s="87"/>
      <c r="L10" s="87"/>
      <c r="M10" s="87"/>
      <c r="N10" s="87"/>
      <c r="O10" s="87"/>
      <c r="P10" s="87"/>
      <c r="Q10" s="87"/>
      <c r="R10" s="87"/>
    </row>
    <row r="11" spans="1:18" x14ac:dyDescent="0.15">
      <c r="A11" s="87" t="s">
        <v>601</v>
      </c>
      <c r="B11" s="40">
        <f>B7-B9+B10</f>
        <v>30.270599913279622</v>
      </c>
      <c r="C11" s="87" t="s">
        <v>579</v>
      </c>
      <c r="D11" s="137" t="s">
        <v>600</v>
      </c>
      <c r="E11" s="137"/>
      <c r="F11" s="137"/>
      <c r="G11" s="137"/>
      <c r="H11" s="137"/>
      <c r="I11" s="137"/>
      <c r="J11" s="87"/>
      <c r="K11" s="87"/>
      <c r="L11" s="87"/>
      <c r="M11" s="87"/>
      <c r="N11" s="87"/>
      <c r="O11" s="87"/>
      <c r="P11" s="87"/>
      <c r="Q11" s="87"/>
      <c r="R11" s="87"/>
    </row>
    <row r="12" spans="1:18" x14ac:dyDescent="0.15">
      <c r="A12" s="61" t="s">
        <v>599</v>
      </c>
      <c r="B12" s="62">
        <f>B11+30</f>
        <v>60.270599913279625</v>
      </c>
      <c r="C12" s="24"/>
      <c r="D12" s="24"/>
      <c r="E12" s="24"/>
      <c r="F12" s="24"/>
      <c r="G12" s="24"/>
      <c r="H12" s="24"/>
      <c r="I12" s="24"/>
      <c r="J12" s="24"/>
      <c r="K12" s="24"/>
      <c r="L12" s="24"/>
      <c r="M12" s="24"/>
      <c r="N12" s="24"/>
      <c r="O12" s="24"/>
      <c r="P12" s="24"/>
      <c r="Q12" s="24"/>
      <c r="R12" s="24"/>
    </row>
    <row r="13" spans="1:18" x14ac:dyDescent="0.15">
      <c r="A13" s="87" t="s">
        <v>591</v>
      </c>
      <c r="B13" s="437">
        <f>'Antenna Pointing Losses'!K43</f>
        <v>0.23620359159426438</v>
      </c>
      <c r="C13" s="87" t="s">
        <v>554</v>
      </c>
      <c r="D13" s="137" t="s">
        <v>445</v>
      </c>
      <c r="E13" s="137"/>
      <c r="F13" s="137"/>
      <c r="G13" s="137"/>
      <c r="H13" s="137"/>
      <c r="I13" s="137"/>
      <c r="J13" s="87"/>
      <c r="K13" s="87"/>
      <c r="L13" s="87"/>
      <c r="M13" s="87"/>
      <c r="N13" s="87"/>
      <c r="O13" s="87"/>
      <c r="P13" s="87"/>
      <c r="Q13" s="87"/>
      <c r="R13" s="87"/>
    </row>
    <row r="14" spans="1:18" x14ac:dyDescent="0.15">
      <c r="A14" s="87" t="s">
        <v>107</v>
      </c>
      <c r="B14" s="437">
        <f>'Antenna Polarization Loss'!F40</f>
        <v>0.50809733545008262</v>
      </c>
      <c r="C14" s="87" t="s">
        <v>554</v>
      </c>
      <c r="D14" s="137" t="s">
        <v>115</v>
      </c>
      <c r="E14" s="137"/>
      <c r="F14" s="137"/>
      <c r="G14" s="137"/>
      <c r="H14" s="137"/>
      <c r="I14" s="137"/>
      <c r="J14" s="87"/>
      <c r="K14" s="87"/>
      <c r="L14" s="87"/>
      <c r="M14" s="87"/>
      <c r="N14" s="87"/>
      <c r="O14" s="87"/>
      <c r="P14" s="87"/>
      <c r="Q14" s="87"/>
      <c r="R14" s="87"/>
    </row>
    <row r="15" spans="1:18" x14ac:dyDescent="0.15">
      <c r="A15" s="87" t="s">
        <v>553</v>
      </c>
      <c r="B15" s="299">
        <f>Frequency!M12</f>
        <v>146.94262160665141</v>
      </c>
      <c r="C15" s="87" t="s">
        <v>554</v>
      </c>
      <c r="D15" s="137" t="s">
        <v>76</v>
      </c>
      <c r="E15" s="137"/>
      <c r="F15" s="137"/>
      <c r="G15" s="137"/>
      <c r="H15" s="137"/>
      <c r="I15" s="137"/>
      <c r="J15" s="87"/>
      <c r="K15" s="87"/>
      <c r="L15" s="87"/>
      <c r="M15" s="87"/>
      <c r="N15" s="87"/>
      <c r="O15" s="87"/>
      <c r="P15" s="87"/>
      <c r="Q15" s="87"/>
      <c r="R15" s="87"/>
    </row>
    <row r="16" spans="1:18" x14ac:dyDescent="0.15">
      <c r="A16" s="87" t="s">
        <v>566</v>
      </c>
      <c r="B16" s="437">
        <f>'Atmos. &amp; Ionos. Losses'!D23</f>
        <v>1.1000000000000001</v>
      </c>
      <c r="C16" s="87" t="s">
        <v>554</v>
      </c>
      <c r="D16" s="137" t="s">
        <v>1054</v>
      </c>
      <c r="E16" s="137"/>
      <c r="F16" s="137"/>
      <c r="G16" s="137"/>
      <c r="H16" s="137"/>
      <c r="I16" s="137"/>
      <c r="J16" s="87"/>
      <c r="K16" s="87"/>
      <c r="L16" s="87"/>
      <c r="M16" s="87"/>
      <c r="N16" s="87"/>
      <c r="O16" s="87"/>
      <c r="P16" s="87"/>
      <c r="Q16" s="87"/>
      <c r="R16" s="87"/>
    </row>
    <row r="17" spans="1:18" x14ac:dyDescent="0.15">
      <c r="A17" s="87" t="s">
        <v>567</v>
      </c>
      <c r="B17" s="437">
        <f>INDEX('Atmos. &amp; Ionos. Losses'!D32:D35,Frequency!L10,1)</f>
        <v>0.4</v>
      </c>
      <c r="C17" s="87" t="s">
        <v>554</v>
      </c>
      <c r="D17" s="137" t="s">
        <v>0</v>
      </c>
      <c r="E17" s="137"/>
      <c r="F17" s="137"/>
      <c r="G17" s="137"/>
      <c r="H17" s="137"/>
      <c r="I17" s="137"/>
      <c r="J17" s="87"/>
      <c r="K17" s="87"/>
      <c r="L17" s="87"/>
      <c r="M17" s="87"/>
      <c r="N17" s="87"/>
      <c r="O17" s="87"/>
      <c r="P17" s="87"/>
      <c r="Q17" s="87"/>
      <c r="R17" s="87"/>
    </row>
    <row r="18" spans="1:18" x14ac:dyDescent="0.15">
      <c r="A18" s="87" t="s">
        <v>568</v>
      </c>
      <c r="B18" s="439">
        <v>0</v>
      </c>
      <c r="C18" s="87" t="s">
        <v>554</v>
      </c>
      <c r="D18" s="137" t="s">
        <v>8</v>
      </c>
      <c r="E18" s="137"/>
      <c r="F18" s="137"/>
      <c r="G18" s="137"/>
      <c r="H18" s="137"/>
      <c r="I18" s="137"/>
      <c r="J18" s="87"/>
      <c r="K18" s="87"/>
      <c r="L18" s="87"/>
      <c r="M18" s="87"/>
      <c r="N18" s="87"/>
      <c r="O18" s="87"/>
      <c r="P18" s="87"/>
      <c r="Q18" s="87"/>
      <c r="R18" s="87"/>
    </row>
    <row r="19" spans="1:18" x14ac:dyDescent="0.15">
      <c r="A19" s="87" t="s">
        <v>263</v>
      </c>
      <c r="B19" s="40">
        <f>B11-SUM(B13:B18)</f>
        <v>-118.91632262041614</v>
      </c>
      <c r="C19" s="87" t="s">
        <v>579</v>
      </c>
      <c r="D19" s="137" t="s">
        <v>264</v>
      </c>
      <c r="E19" s="137"/>
      <c r="F19" s="137"/>
      <c r="G19" s="137"/>
      <c r="H19" s="137"/>
      <c r="I19" s="137"/>
      <c r="J19" s="87"/>
      <c r="K19" s="87"/>
      <c r="L19" s="87"/>
      <c r="M19" s="87"/>
      <c r="N19" s="87"/>
      <c r="O19" s="87"/>
      <c r="P19" s="87"/>
      <c r="Q19" s="87"/>
      <c r="R19" s="87"/>
    </row>
    <row r="20" spans="1:18" x14ac:dyDescent="0.15">
      <c r="A20" s="61" t="s">
        <v>133</v>
      </c>
      <c r="B20" s="24"/>
      <c r="C20" s="24"/>
      <c r="D20" s="24"/>
      <c r="E20" s="24"/>
      <c r="F20" s="24"/>
      <c r="G20" s="24"/>
      <c r="H20" s="24"/>
      <c r="I20" s="24"/>
      <c r="J20" s="37"/>
      <c r="K20" s="43"/>
      <c r="L20" s="43"/>
      <c r="M20" s="43"/>
      <c r="N20" s="47"/>
      <c r="O20" s="48"/>
      <c r="P20" s="48"/>
      <c r="Q20" s="48"/>
      <c r="R20" s="24"/>
    </row>
    <row r="21" spans="1:18" outlineLevel="1" x14ac:dyDescent="0.15">
      <c r="A21" s="61" t="s">
        <v>630</v>
      </c>
      <c r="B21" s="24"/>
      <c r="C21" s="24"/>
      <c r="D21" s="24"/>
      <c r="E21" s="24"/>
      <c r="F21" s="24"/>
      <c r="G21" s="24"/>
      <c r="H21" s="24"/>
      <c r="I21" s="24"/>
      <c r="J21" s="37"/>
      <c r="K21" s="43"/>
      <c r="L21" s="43"/>
      <c r="M21" s="43"/>
      <c r="N21" s="47"/>
      <c r="O21" s="48"/>
      <c r="P21" s="48"/>
      <c r="Q21" s="48"/>
      <c r="R21" s="24"/>
    </row>
    <row r="22" spans="1:18" outlineLevel="1" x14ac:dyDescent="0.15">
      <c r="A22" s="436" t="s">
        <v>602</v>
      </c>
      <c r="B22" s="437">
        <f>'Antenna Pointing Losses'!K63</f>
        <v>1.8749999999999999E-2</v>
      </c>
      <c r="C22" s="87" t="s">
        <v>554</v>
      </c>
      <c r="D22" s="137" t="s">
        <v>670</v>
      </c>
      <c r="E22" s="137"/>
      <c r="F22" s="137"/>
      <c r="G22" s="137"/>
      <c r="H22" s="137"/>
      <c r="I22" s="137"/>
      <c r="J22" s="87"/>
      <c r="K22" s="299"/>
      <c r="L22" s="87"/>
      <c r="M22" s="87"/>
      <c r="N22" s="87"/>
      <c r="O22" s="87"/>
      <c r="P22" s="87"/>
      <c r="Q22" s="87"/>
      <c r="R22" s="87"/>
    </row>
    <row r="23" spans="1:18" outlineLevel="1" x14ac:dyDescent="0.15">
      <c r="A23" s="87" t="s">
        <v>610</v>
      </c>
      <c r="B23" s="299">
        <f>INDEX('Antenna Gain'!H26:H32,'Antenna Gain'!E24,1)</f>
        <v>0</v>
      </c>
      <c r="C23" s="87" t="s">
        <v>762</v>
      </c>
      <c r="D23" s="137" t="s">
        <v>443</v>
      </c>
      <c r="E23" s="137"/>
      <c r="F23" s="137"/>
      <c r="G23" s="137"/>
      <c r="H23" s="137"/>
      <c r="I23" s="137"/>
      <c r="J23" s="87"/>
      <c r="K23" s="299"/>
      <c r="L23" s="87"/>
      <c r="M23" s="87"/>
      <c r="N23" s="87"/>
      <c r="O23" s="87"/>
      <c r="P23" s="87"/>
      <c r="Q23" s="87"/>
      <c r="R23" s="87"/>
    </row>
    <row r="24" spans="1:18" outlineLevel="1" x14ac:dyDescent="0.15">
      <c r="A24" s="87" t="s">
        <v>1052</v>
      </c>
      <c r="B24" s="437">
        <f>Receivers!J53</f>
        <v>0.99600000000000011</v>
      </c>
      <c r="C24" s="87" t="s">
        <v>554</v>
      </c>
      <c r="D24" s="137" t="s">
        <v>119</v>
      </c>
      <c r="E24" s="137"/>
      <c r="F24" s="137"/>
      <c r="G24" s="137"/>
      <c r="H24" s="137"/>
      <c r="I24" s="137"/>
      <c r="J24" s="87"/>
      <c r="K24" s="87"/>
      <c r="L24" s="87"/>
      <c r="M24" s="87"/>
      <c r="N24" s="87"/>
      <c r="O24" s="87"/>
      <c r="P24" s="87"/>
      <c r="Q24" s="87"/>
      <c r="R24" s="87"/>
    </row>
    <row r="25" spans="1:18" outlineLevel="1" x14ac:dyDescent="0.15">
      <c r="A25" s="87" t="s">
        <v>611</v>
      </c>
      <c r="B25" s="440">
        <f>Receivers!J68</f>
        <v>225.04844638379137</v>
      </c>
      <c r="C25" s="87" t="s">
        <v>582</v>
      </c>
      <c r="D25" s="137" t="s">
        <v>118</v>
      </c>
      <c r="E25" s="137"/>
      <c r="F25" s="137"/>
      <c r="G25" s="137"/>
      <c r="H25" s="137"/>
      <c r="I25" s="137"/>
      <c r="J25" s="87"/>
      <c r="K25" s="440"/>
      <c r="L25" s="87"/>
      <c r="M25" s="87"/>
      <c r="N25" s="87"/>
      <c r="O25" s="87"/>
      <c r="P25" s="87"/>
      <c r="Q25" s="87"/>
      <c r="R25" s="87"/>
    </row>
    <row r="26" spans="1:18" outlineLevel="1" x14ac:dyDescent="0.15">
      <c r="A26" s="87" t="s">
        <v>612</v>
      </c>
      <c r="B26" s="299">
        <f>B23-B24-10*LOG10(B25)</f>
        <v>-24.518760191439693</v>
      </c>
      <c r="C26" s="87" t="s">
        <v>583</v>
      </c>
      <c r="D26" s="137" t="s">
        <v>90</v>
      </c>
      <c r="E26" s="137"/>
      <c r="F26" s="137"/>
      <c r="G26" s="137"/>
      <c r="H26" s="137"/>
      <c r="I26" s="137"/>
      <c r="J26" s="87"/>
      <c r="K26" s="299"/>
      <c r="L26" s="87"/>
      <c r="M26" s="87"/>
      <c r="N26" s="87"/>
      <c r="O26" s="87"/>
      <c r="P26" s="87"/>
      <c r="Q26" s="87"/>
      <c r="R26" s="87"/>
    </row>
    <row r="27" spans="1:18" outlineLevel="1" x14ac:dyDescent="0.15">
      <c r="A27" s="87" t="s">
        <v>613</v>
      </c>
      <c r="B27" s="429">
        <f>B19-B22-F27+B26</f>
        <v>85.146167188144162</v>
      </c>
      <c r="C27" s="87" t="s">
        <v>588</v>
      </c>
      <c r="D27" s="444" t="s">
        <v>586</v>
      </c>
      <c r="E27" s="445"/>
      <c r="F27" s="445">
        <v>-228.6</v>
      </c>
      <c r="G27" s="446" t="s">
        <v>587</v>
      </c>
      <c r="H27" s="137"/>
      <c r="I27" s="137"/>
      <c r="J27" s="87"/>
      <c r="K27" s="299"/>
      <c r="L27" s="87"/>
      <c r="M27" s="87"/>
      <c r="N27" s="87"/>
      <c r="O27" s="87"/>
      <c r="P27" s="87"/>
      <c r="Q27" s="87"/>
      <c r="R27" s="87"/>
    </row>
    <row r="28" spans="1:18" outlineLevel="1" x14ac:dyDescent="0.15">
      <c r="A28" s="729" t="s">
        <v>1071</v>
      </c>
      <c r="B28" s="396">
        <v>9600</v>
      </c>
      <c r="C28" s="87" t="s">
        <v>589</v>
      </c>
      <c r="D28" s="137" t="s">
        <v>18</v>
      </c>
      <c r="E28" s="137"/>
      <c r="F28" s="137"/>
      <c r="G28" s="137"/>
      <c r="H28" s="137"/>
      <c r="I28" s="137"/>
      <c r="J28" s="87"/>
      <c r="K28" s="450"/>
      <c r="L28" s="87"/>
      <c r="M28" s="87"/>
      <c r="N28" s="87"/>
      <c r="O28" s="87"/>
      <c r="P28" s="87"/>
      <c r="Q28" s="87"/>
      <c r="R28" s="87"/>
    </row>
    <row r="29" spans="1:18" outlineLevel="1" x14ac:dyDescent="0.15">
      <c r="A29" s="101" t="s">
        <v>590</v>
      </c>
      <c r="B29" s="447">
        <f>10*LOG10(B28)</f>
        <v>39.822712330395682</v>
      </c>
      <c r="C29" s="87" t="s">
        <v>588</v>
      </c>
      <c r="D29" s="137" t="s">
        <v>19</v>
      </c>
      <c r="E29" s="137"/>
      <c r="F29" s="137"/>
      <c r="G29" s="137"/>
      <c r="H29" s="137"/>
      <c r="I29" s="137"/>
      <c r="J29" s="87"/>
      <c r="K29" s="299"/>
      <c r="L29" s="87"/>
      <c r="M29" s="87"/>
      <c r="N29" s="87"/>
      <c r="O29" s="87"/>
      <c r="P29" s="87"/>
      <c r="Q29" s="87"/>
      <c r="R29" s="87"/>
    </row>
    <row r="30" spans="1:18" outlineLevel="1" x14ac:dyDescent="0.15">
      <c r="A30" s="87" t="s">
        <v>135</v>
      </c>
      <c r="B30" s="429">
        <f>B27-B29</f>
        <v>45.32345485774848</v>
      </c>
      <c r="C30" s="87" t="s">
        <v>554</v>
      </c>
      <c r="D30" s="137" t="s">
        <v>512</v>
      </c>
      <c r="E30" s="137"/>
      <c r="F30" s="137"/>
      <c r="G30" s="137"/>
      <c r="H30" s="137"/>
      <c r="I30" s="137"/>
      <c r="J30" s="87"/>
      <c r="K30" s="299"/>
      <c r="L30" s="87"/>
      <c r="M30" s="87"/>
      <c r="N30" s="87"/>
      <c r="O30" s="87"/>
      <c r="P30" s="87"/>
      <c r="Q30" s="87"/>
      <c r="R30" s="87"/>
    </row>
    <row r="31" spans="1:18" outlineLevel="1" x14ac:dyDescent="0.15">
      <c r="A31" s="87"/>
      <c r="B31" s="457"/>
      <c r="C31" s="87"/>
      <c r="D31" s="137"/>
      <c r="E31" s="137"/>
      <c r="F31" s="137"/>
      <c r="G31" s="137"/>
      <c r="H31" s="137"/>
      <c r="I31" s="137"/>
      <c r="J31" s="87"/>
      <c r="K31" s="299"/>
      <c r="L31" s="87"/>
      <c r="M31" s="87"/>
      <c r="N31" s="87"/>
      <c r="O31" s="87"/>
      <c r="P31" s="87"/>
      <c r="Q31" s="87"/>
      <c r="R31" s="87"/>
    </row>
    <row r="32" spans="1:18" outlineLevel="1" x14ac:dyDescent="0.15">
      <c r="A32" s="87" t="s">
        <v>120</v>
      </c>
      <c r="B32" s="453" t="str">
        <f>INDEX('Modulation-Demodulation Method'!C6:C23,'Modulation-Demodulation Method'!E3,1)</f>
        <v>G3RUH FSK</v>
      </c>
      <c r="C32" s="207" t="s">
        <v>512</v>
      </c>
      <c r="D32" s="456" t="s">
        <v>123</v>
      </c>
      <c r="E32" s="137"/>
      <c r="F32" s="137"/>
      <c r="G32" s="137"/>
      <c r="H32" s="137"/>
      <c r="I32" s="137"/>
      <c r="J32" s="87"/>
      <c r="K32" s="299"/>
      <c r="L32" s="87"/>
      <c r="M32" s="87"/>
      <c r="N32" s="87"/>
      <c r="O32" s="87"/>
      <c r="P32" s="87"/>
      <c r="Q32" s="87"/>
      <c r="R32" s="87"/>
    </row>
    <row r="33" spans="1:18" outlineLevel="1" x14ac:dyDescent="0.15">
      <c r="A33" s="87" t="s">
        <v>117</v>
      </c>
      <c r="B33" s="455" t="str">
        <f>INDEX('Modulation-Demodulation Method'!D6:D23,'Modulation-Demodulation Method'!E3,1)</f>
        <v>None</v>
      </c>
      <c r="C33" s="454"/>
      <c r="D33" s="435" t="s">
        <v>124</v>
      </c>
      <c r="E33" s="137"/>
      <c r="F33" s="137"/>
      <c r="G33" s="137"/>
      <c r="H33" s="137"/>
      <c r="I33" s="137"/>
      <c r="J33" s="87"/>
      <c r="K33" s="299"/>
      <c r="L33" s="87"/>
      <c r="M33" s="87"/>
      <c r="N33" s="87"/>
      <c r="O33" s="87"/>
      <c r="P33" s="87"/>
      <c r="Q33" s="87"/>
      <c r="R33" s="87"/>
    </row>
    <row r="34" spans="1:18" outlineLevel="1" x14ac:dyDescent="0.15">
      <c r="A34" s="87"/>
      <c r="B34" s="457"/>
      <c r="C34" s="87"/>
      <c r="D34" s="137"/>
      <c r="E34" s="137"/>
      <c r="F34" s="137"/>
      <c r="G34" s="137"/>
      <c r="H34" s="137"/>
      <c r="I34" s="137"/>
      <c r="J34" s="87"/>
      <c r="K34" s="299"/>
      <c r="L34" s="87"/>
      <c r="M34" s="87"/>
      <c r="N34" s="87"/>
      <c r="O34" s="87"/>
      <c r="P34" s="87"/>
      <c r="Q34" s="87"/>
      <c r="R34" s="87"/>
    </row>
    <row r="35" spans="1:18" outlineLevel="1" x14ac:dyDescent="0.15">
      <c r="A35" s="87" t="s">
        <v>21</v>
      </c>
      <c r="B35" s="430">
        <f>INDEX('Modulation-Demodulation Method'!E6:E23,'Modulation-Demodulation Method'!E3,1)</f>
        <v>1.0000000000000001E-5</v>
      </c>
      <c r="C35" s="207"/>
      <c r="D35" s="435" t="s">
        <v>125</v>
      </c>
      <c r="E35" s="137"/>
      <c r="F35" s="137"/>
      <c r="G35" s="137"/>
      <c r="H35" s="137"/>
      <c r="I35" s="137"/>
      <c r="J35" s="87"/>
      <c r="K35" s="87"/>
      <c r="L35" s="87"/>
      <c r="M35" s="87"/>
      <c r="N35" s="87"/>
      <c r="O35" s="87"/>
      <c r="P35" s="87"/>
      <c r="Q35" s="87"/>
      <c r="R35" s="87"/>
    </row>
    <row r="36" spans="1:18" outlineLevel="1" x14ac:dyDescent="0.15">
      <c r="A36" s="87"/>
      <c r="B36" s="458"/>
      <c r="C36" s="207"/>
      <c r="D36" s="435"/>
      <c r="E36" s="137"/>
      <c r="F36" s="137"/>
      <c r="G36" s="137"/>
      <c r="H36" s="137"/>
      <c r="I36" s="137"/>
      <c r="J36" s="87"/>
      <c r="K36" s="87"/>
      <c r="L36" s="87"/>
      <c r="M36" s="87"/>
      <c r="N36" s="87"/>
      <c r="O36" s="87"/>
      <c r="P36" s="87"/>
      <c r="Q36" s="87"/>
      <c r="R36" s="87"/>
    </row>
    <row r="37" spans="1:18" outlineLevel="1" x14ac:dyDescent="0.15">
      <c r="A37" s="87" t="s">
        <v>52</v>
      </c>
      <c r="B37" s="459">
        <f>'Modulation-Demodulation Method'!E25</f>
        <v>1</v>
      </c>
      <c r="C37" s="87" t="s">
        <v>554</v>
      </c>
      <c r="D37" s="137" t="s">
        <v>127</v>
      </c>
      <c r="E37" s="137"/>
      <c r="F37" s="137"/>
      <c r="G37" s="137"/>
      <c r="H37" s="137"/>
      <c r="I37" s="137"/>
      <c r="J37" s="87"/>
      <c r="K37" s="87"/>
      <c r="L37" s="87"/>
      <c r="M37" s="87"/>
      <c r="N37" s="87"/>
      <c r="O37" s="87"/>
      <c r="P37" s="87"/>
      <c r="Q37" s="87"/>
      <c r="R37" s="87"/>
    </row>
    <row r="38" spans="1:18" outlineLevel="1" x14ac:dyDescent="0.15">
      <c r="A38" s="87"/>
      <c r="B38" s="459"/>
      <c r="C38" s="87"/>
      <c r="D38" s="137"/>
      <c r="E38" s="137"/>
      <c r="F38" s="137"/>
      <c r="G38" s="137"/>
      <c r="H38" s="137"/>
      <c r="I38" s="137"/>
      <c r="J38" s="87"/>
      <c r="K38" s="87"/>
      <c r="L38" s="87"/>
      <c r="M38" s="87"/>
      <c r="N38" s="87"/>
      <c r="O38" s="87"/>
      <c r="P38" s="87"/>
      <c r="Q38" s="87"/>
      <c r="R38" s="87"/>
    </row>
    <row r="39" spans="1:18" outlineLevel="1" x14ac:dyDescent="0.15">
      <c r="A39" s="87" t="s">
        <v>576</v>
      </c>
      <c r="B39" s="443">
        <f>INDEX('Modulation-Demodulation Method'!F6:F23,'Modulation-Demodulation Method'!E3,1)</f>
        <v>18</v>
      </c>
      <c r="C39" s="87" t="s">
        <v>554</v>
      </c>
      <c r="D39" s="137" t="s">
        <v>128</v>
      </c>
      <c r="E39" s="137"/>
      <c r="F39" s="137"/>
      <c r="G39" s="137"/>
      <c r="H39" s="137"/>
      <c r="I39" s="137"/>
      <c r="J39" s="87"/>
      <c r="K39" s="299"/>
      <c r="L39" s="87"/>
      <c r="M39" s="87"/>
      <c r="N39" s="87"/>
      <c r="O39" s="87"/>
      <c r="P39" s="87"/>
      <c r="Q39" s="87"/>
      <c r="R39" s="87"/>
    </row>
    <row r="40" spans="1:18" outlineLevel="1" x14ac:dyDescent="0.15">
      <c r="A40" s="87"/>
      <c r="B40" s="443"/>
      <c r="C40" s="87"/>
      <c r="D40" s="137"/>
      <c r="E40" s="137"/>
      <c r="F40" s="137"/>
      <c r="G40" s="137"/>
      <c r="H40" s="137"/>
      <c r="I40" s="137"/>
      <c r="J40" s="87"/>
      <c r="K40" s="299"/>
      <c r="L40" s="87"/>
      <c r="M40" s="87"/>
      <c r="N40" s="87"/>
      <c r="O40" s="87"/>
      <c r="P40" s="87"/>
      <c r="Q40" s="87"/>
      <c r="R40" s="87"/>
    </row>
    <row r="41" spans="1:18" outlineLevel="1" x14ac:dyDescent="0.15">
      <c r="A41" s="87" t="s">
        <v>53</v>
      </c>
      <c r="B41" s="431">
        <f>'Modulation-Demodulation Method'!H5</f>
        <v>19</v>
      </c>
      <c r="C41" s="87" t="s">
        <v>554</v>
      </c>
      <c r="D41" s="137" t="s">
        <v>65</v>
      </c>
      <c r="E41" s="137"/>
      <c r="F41" s="137"/>
      <c r="G41" s="137"/>
      <c r="H41" s="137"/>
      <c r="I41" s="137"/>
      <c r="J41" s="87"/>
      <c r="K41" s="299"/>
      <c r="L41" s="87"/>
      <c r="M41" s="87"/>
      <c r="N41" s="87"/>
      <c r="O41" s="87"/>
      <c r="P41" s="87"/>
      <c r="Q41" s="87"/>
      <c r="R41" s="87"/>
    </row>
    <row r="42" spans="1:18" ht="14" outlineLevel="1" thickBot="1" x14ac:dyDescent="0.2">
      <c r="A42" s="87"/>
      <c r="B42" s="443"/>
      <c r="C42" s="87"/>
      <c r="D42" s="137"/>
      <c r="E42" s="137"/>
      <c r="F42" s="137"/>
      <c r="G42" s="137"/>
      <c r="H42" s="137"/>
      <c r="I42" s="137"/>
      <c r="J42" s="87"/>
      <c r="K42" s="299"/>
      <c r="L42" s="87"/>
      <c r="M42" s="87"/>
      <c r="N42" s="87"/>
      <c r="O42" s="87"/>
      <c r="P42" s="87"/>
      <c r="Q42" s="87"/>
      <c r="R42" s="87"/>
    </row>
    <row r="43" spans="1:18" ht="14" outlineLevel="1" thickBot="1" x14ac:dyDescent="0.2">
      <c r="A43" s="114" t="s">
        <v>577</v>
      </c>
      <c r="B43" s="41">
        <f>B30-B41</f>
        <v>26.32345485774848</v>
      </c>
      <c r="C43" s="87" t="s">
        <v>554</v>
      </c>
      <c r="D43" s="137"/>
      <c r="E43" s="137"/>
      <c r="F43" s="137"/>
      <c r="G43" s="137"/>
      <c r="H43" s="137"/>
      <c r="I43" s="137"/>
      <c r="J43" s="87"/>
      <c r="K43" s="299"/>
      <c r="L43" s="87"/>
      <c r="M43" s="87"/>
      <c r="N43" s="87"/>
      <c r="O43" s="87"/>
      <c r="P43" s="87"/>
      <c r="Q43" s="87"/>
      <c r="R43" s="87"/>
    </row>
    <row r="44" spans="1:18" outlineLevel="1" x14ac:dyDescent="0.15">
      <c r="A44" s="87"/>
      <c r="B44" s="87"/>
      <c r="C44" s="87"/>
      <c r="D44" s="137"/>
      <c r="E44" s="137"/>
      <c r="F44" s="137"/>
      <c r="G44" s="137"/>
      <c r="H44" s="137"/>
      <c r="I44" s="137"/>
      <c r="J44" s="87"/>
      <c r="K44" s="451"/>
      <c r="L44" s="87"/>
      <c r="M44" s="87"/>
      <c r="N44" s="87"/>
      <c r="O44" s="87"/>
      <c r="P44" s="87"/>
      <c r="Q44" s="87"/>
      <c r="R44" s="87"/>
    </row>
    <row r="45" spans="1:18" outlineLevel="1" x14ac:dyDescent="0.15">
      <c r="A45" s="87"/>
      <c r="B45" s="87"/>
      <c r="C45" s="87"/>
      <c r="D45" s="137"/>
      <c r="E45" s="137"/>
      <c r="F45" s="137"/>
      <c r="G45" s="137"/>
      <c r="H45" s="137"/>
      <c r="I45" s="137"/>
      <c r="J45" s="87"/>
      <c r="K45" s="87"/>
      <c r="L45" s="87"/>
      <c r="M45" s="87"/>
      <c r="N45" s="87"/>
      <c r="O45" s="87"/>
      <c r="P45" s="87"/>
      <c r="Q45" s="87"/>
      <c r="R45" s="87"/>
    </row>
    <row r="46" spans="1:18" outlineLevel="1" x14ac:dyDescent="0.15">
      <c r="A46" s="87"/>
      <c r="B46" s="87"/>
      <c r="C46" s="87"/>
      <c r="D46" s="137"/>
      <c r="E46" s="137"/>
      <c r="F46" s="137"/>
      <c r="G46" s="137"/>
      <c r="H46" s="137"/>
      <c r="I46" s="137"/>
      <c r="J46" s="87"/>
      <c r="K46" s="87"/>
      <c r="L46" s="87"/>
      <c r="M46" s="87"/>
      <c r="N46" s="87"/>
      <c r="O46" s="87"/>
      <c r="P46" s="87"/>
      <c r="Q46" s="87"/>
      <c r="R46" s="87"/>
    </row>
    <row r="47" spans="1:18" x14ac:dyDescent="0.15">
      <c r="A47" s="449" t="s">
        <v>614</v>
      </c>
      <c r="B47" s="43"/>
      <c r="C47" s="43"/>
      <c r="D47" s="43"/>
      <c r="E47" s="401" t="s">
        <v>131</v>
      </c>
      <c r="F47" s="48"/>
      <c r="G47" s="48"/>
      <c r="H47" s="48"/>
      <c r="I47" s="24"/>
      <c r="J47" s="24"/>
      <c r="K47" s="24"/>
      <c r="L47" s="24"/>
      <c r="M47" s="24"/>
      <c r="N47" s="24"/>
      <c r="O47" s="24"/>
      <c r="P47" s="24"/>
      <c r="Q47" s="24"/>
      <c r="R47" s="24"/>
    </row>
    <row r="48" spans="1:18" outlineLevel="1" x14ac:dyDescent="0.15">
      <c r="A48" s="37" t="s">
        <v>631</v>
      </c>
      <c r="B48" s="43"/>
      <c r="C48" s="43"/>
      <c r="D48" s="43"/>
      <c r="E48" s="47"/>
      <c r="F48" s="48"/>
      <c r="G48" s="48"/>
      <c r="H48" s="48"/>
      <c r="I48" s="24"/>
      <c r="J48" s="24"/>
      <c r="K48" s="24"/>
      <c r="L48" s="24"/>
      <c r="M48" s="24"/>
      <c r="N48" s="24"/>
      <c r="O48" s="24"/>
      <c r="P48" s="24"/>
      <c r="Q48" s="24"/>
      <c r="R48" s="24"/>
    </row>
    <row r="49" spans="1:18" outlineLevel="1" x14ac:dyDescent="0.15">
      <c r="A49" s="87" t="s">
        <v>602</v>
      </c>
      <c r="B49" s="299">
        <f>'Antenna Pointing Losses'!K63</f>
        <v>1.8749999999999999E-2</v>
      </c>
      <c r="C49" s="87" t="s">
        <v>554</v>
      </c>
      <c r="D49" s="137" t="s">
        <v>670</v>
      </c>
      <c r="E49" s="137"/>
      <c r="F49" s="137"/>
      <c r="G49" s="137"/>
      <c r="H49" s="137"/>
      <c r="I49" s="137"/>
      <c r="J49" s="87"/>
      <c r="K49" s="87"/>
      <c r="L49" s="87"/>
      <c r="M49" s="87"/>
      <c r="N49" s="87"/>
      <c r="O49" s="87"/>
      <c r="P49" s="87"/>
      <c r="Q49" s="87"/>
      <c r="R49" s="87"/>
    </row>
    <row r="50" spans="1:18" outlineLevel="1" x14ac:dyDescent="0.15">
      <c r="A50" s="87" t="s">
        <v>610</v>
      </c>
      <c r="B50" s="299">
        <f>INDEX('Antenna Gain'!H26:H32,'Antenna Gain'!E24,1)</f>
        <v>0</v>
      </c>
      <c r="C50" s="87" t="s">
        <v>762</v>
      </c>
      <c r="D50" s="137" t="s">
        <v>443</v>
      </c>
      <c r="E50" s="137"/>
      <c r="F50" s="137"/>
      <c r="G50" s="137"/>
      <c r="H50" s="137"/>
      <c r="I50" s="137"/>
      <c r="J50" s="87"/>
      <c r="K50" s="87"/>
      <c r="L50" s="87"/>
      <c r="M50" s="87"/>
      <c r="N50" s="87"/>
      <c r="O50" s="87"/>
      <c r="P50" s="87"/>
      <c r="Q50" s="87"/>
      <c r="R50" s="87"/>
    </row>
    <row r="51" spans="1:18" outlineLevel="1" x14ac:dyDescent="0.15">
      <c r="A51" s="87" t="s">
        <v>1052</v>
      </c>
      <c r="B51" s="299">
        <f>Receivers!J53</f>
        <v>0.99600000000000011</v>
      </c>
      <c r="C51" s="87" t="s">
        <v>554</v>
      </c>
      <c r="D51" s="137" t="s">
        <v>119</v>
      </c>
      <c r="E51" s="137"/>
      <c r="F51" s="137"/>
      <c r="G51" s="137"/>
      <c r="H51" s="137"/>
      <c r="I51" s="137"/>
      <c r="J51" s="87"/>
      <c r="K51" s="87"/>
      <c r="L51" s="87"/>
      <c r="M51" s="87"/>
      <c r="N51" s="87"/>
      <c r="O51" s="87"/>
      <c r="P51" s="87"/>
      <c r="Q51" s="87"/>
      <c r="R51" s="87"/>
    </row>
    <row r="52" spans="1:18" outlineLevel="1" x14ac:dyDescent="0.15">
      <c r="A52" s="87" t="s">
        <v>611</v>
      </c>
      <c r="B52" s="440">
        <f>Receivers!J68</f>
        <v>225.04844638379137</v>
      </c>
      <c r="C52" s="87" t="s">
        <v>582</v>
      </c>
      <c r="D52" s="137" t="s">
        <v>118</v>
      </c>
      <c r="E52" s="137"/>
      <c r="F52" s="137"/>
      <c r="G52" s="137"/>
      <c r="H52" s="137"/>
      <c r="I52" s="137"/>
      <c r="J52" s="87"/>
      <c r="K52" s="87"/>
      <c r="L52" s="87"/>
      <c r="M52" s="87"/>
      <c r="N52" s="87"/>
      <c r="O52" s="87"/>
      <c r="P52" s="87"/>
      <c r="Q52" s="87"/>
      <c r="R52" s="87"/>
    </row>
    <row r="53" spans="1:18" outlineLevel="1" x14ac:dyDescent="0.15">
      <c r="A53" s="87" t="s">
        <v>612</v>
      </c>
      <c r="B53" s="299">
        <f>B50-B51-10*LOG10(B52)</f>
        <v>-24.518760191439693</v>
      </c>
      <c r="C53" s="87" t="s">
        <v>583</v>
      </c>
      <c r="D53" s="137" t="s">
        <v>91</v>
      </c>
      <c r="E53" s="137"/>
      <c r="F53" s="137"/>
      <c r="G53" s="137"/>
      <c r="H53" s="137"/>
      <c r="I53" s="137"/>
      <c r="J53" s="87"/>
      <c r="K53" s="87"/>
      <c r="L53" s="87"/>
      <c r="M53" s="87"/>
      <c r="N53" s="87"/>
      <c r="O53" s="87"/>
      <c r="P53" s="87"/>
      <c r="Q53" s="87"/>
      <c r="R53" s="87"/>
    </row>
    <row r="54" spans="1:18" outlineLevel="1" x14ac:dyDescent="0.15">
      <c r="A54" s="87"/>
      <c r="B54" s="299"/>
      <c r="C54" s="87"/>
      <c r="D54" s="137"/>
      <c r="E54" s="137"/>
      <c r="F54" s="137"/>
      <c r="G54" s="137"/>
      <c r="H54" s="137"/>
      <c r="I54" s="137"/>
      <c r="J54" s="87"/>
      <c r="K54" s="87"/>
      <c r="L54" s="87"/>
      <c r="M54" s="87"/>
      <c r="N54" s="87"/>
      <c r="O54" s="87"/>
      <c r="P54" s="87"/>
      <c r="Q54" s="87"/>
      <c r="R54" s="87"/>
    </row>
    <row r="55" spans="1:18" outlineLevel="1" x14ac:dyDescent="0.15">
      <c r="A55" s="87" t="s">
        <v>615</v>
      </c>
      <c r="B55" s="353">
        <f>B19-B49+B50-B51</f>
        <v>-119.93107262041613</v>
      </c>
      <c r="C55" s="87" t="s">
        <v>579</v>
      </c>
      <c r="D55" s="137" t="s">
        <v>92</v>
      </c>
      <c r="E55" s="137"/>
      <c r="F55" s="137"/>
      <c r="G55" s="137"/>
      <c r="H55" s="137"/>
      <c r="I55" s="137"/>
      <c r="J55" s="87"/>
      <c r="K55" s="87"/>
      <c r="L55" s="87"/>
      <c r="M55" s="87"/>
      <c r="N55" s="87"/>
      <c r="O55" s="87"/>
      <c r="P55" s="87"/>
      <c r="Q55" s="87"/>
      <c r="R55" s="87"/>
    </row>
    <row r="56" spans="1:18" outlineLevel="1" x14ac:dyDescent="0.15">
      <c r="A56" s="87"/>
      <c r="B56" s="913">
        <f>B55+30</f>
        <v>-89.931072620416131</v>
      </c>
      <c r="C56" s="729" t="s">
        <v>580</v>
      </c>
      <c r="D56" s="137"/>
      <c r="E56" s="137"/>
      <c r="F56" s="137"/>
      <c r="G56" s="137"/>
      <c r="H56" s="137"/>
      <c r="I56" s="137"/>
      <c r="J56" s="87"/>
      <c r="K56" s="87"/>
      <c r="L56" s="87"/>
      <c r="M56" s="87"/>
      <c r="N56" s="87"/>
      <c r="O56" s="87"/>
      <c r="P56" s="87"/>
      <c r="Q56" s="87"/>
      <c r="R56" s="87"/>
    </row>
    <row r="57" spans="1:18" outlineLevel="1" x14ac:dyDescent="0.15">
      <c r="A57" s="729" t="s">
        <v>1072</v>
      </c>
      <c r="B57" s="395">
        <v>14400</v>
      </c>
      <c r="C57" s="87" t="s">
        <v>594</v>
      </c>
      <c r="D57" s="137" t="s">
        <v>129</v>
      </c>
      <c r="E57" s="137"/>
      <c r="F57" s="137"/>
      <c r="G57" s="137"/>
      <c r="H57" s="401" t="s">
        <v>868</v>
      </c>
      <c r="I57" s="137"/>
      <c r="J57" s="87"/>
      <c r="K57" s="87"/>
      <c r="L57" s="87"/>
      <c r="M57" s="87"/>
      <c r="N57" s="87"/>
      <c r="O57" s="87"/>
      <c r="P57" s="87"/>
      <c r="Q57" s="87"/>
      <c r="R57" s="87"/>
    </row>
    <row r="58" spans="1:18" outlineLevel="1" x14ac:dyDescent="0.15">
      <c r="A58" s="87"/>
      <c r="B58" s="448"/>
      <c r="C58" s="87"/>
      <c r="D58" s="137"/>
      <c r="E58" s="137"/>
      <c r="F58" s="137"/>
      <c r="G58" s="137"/>
      <c r="H58" s="137"/>
      <c r="I58" s="137"/>
      <c r="J58" s="87"/>
      <c r="K58" s="87"/>
      <c r="L58" s="87"/>
      <c r="M58" s="87"/>
      <c r="N58" s="87"/>
      <c r="O58" s="87"/>
      <c r="P58" s="87"/>
      <c r="Q58" s="87"/>
      <c r="R58" s="87"/>
    </row>
    <row r="59" spans="1:18" outlineLevel="1" x14ac:dyDescent="0.15">
      <c r="A59" s="87" t="s">
        <v>130</v>
      </c>
      <c r="B59" s="353">
        <f>F27+10*LOG10(B52)+10*LOG10(B57)</f>
        <v>-163.49361488760781</v>
      </c>
      <c r="C59" s="87" t="s">
        <v>579</v>
      </c>
      <c r="D59" s="137" t="s">
        <v>132</v>
      </c>
      <c r="E59" s="137"/>
      <c r="F59" s="137"/>
      <c r="G59" s="137"/>
      <c r="H59" s="137"/>
      <c r="I59" s="137"/>
      <c r="J59" s="87"/>
      <c r="K59" s="87"/>
      <c r="L59" s="87"/>
      <c r="M59" s="87"/>
      <c r="N59" s="87"/>
      <c r="O59" s="87"/>
      <c r="P59" s="87"/>
      <c r="Q59" s="87"/>
      <c r="R59" s="87"/>
    </row>
    <row r="60" spans="1:18" outlineLevel="1" x14ac:dyDescent="0.15">
      <c r="A60" s="729" t="s">
        <v>1067</v>
      </c>
      <c r="B60" s="447">
        <f>B59+30</f>
        <v>-133.49361488760781</v>
      </c>
      <c r="C60" s="729" t="s">
        <v>580</v>
      </c>
      <c r="D60" s="137"/>
      <c r="E60" s="137"/>
      <c r="F60" s="137"/>
      <c r="G60" s="137"/>
      <c r="H60" s="137"/>
      <c r="I60" s="137"/>
      <c r="J60" s="87"/>
      <c r="K60" s="87"/>
      <c r="L60" s="87"/>
      <c r="M60" s="87"/>
      <c r="N60" s="87"/>
      <c r="O60" s="87"/>
      <c r="P60" s="87"/>
      <c r="Q60" s="87"/>
      <c r="R60" s="87"/>
    </row>
    <row r="61" spans="1:18" outlineLevel="1" x14ac:dyDescent="0.15">
      <c r="A61" s="729" t="s">
        <v>596</v>
      </c>
      <c r="B61" s="429">
        <f>B55-B59</f>
        <v>43.562542267191674</v>
      </c>
      <c r="C61" s="87" t="s">
        <v>554</v>
      </c>
      <c r="D61" s="137" t="s">
        <v>94</v>
      </c>
      <c r="E61" s="137"/>
      <c r="F61" s="137"/>
      <c r="G61" s="137"/>
      <c r="H61" s="137"/>
      <c r="I61" s="137"/>
      <c r="J61" s="87"/>
      <c r="K61" s="87"/>
      <c r="L61" s="87"/>
      <c r="M61" s="87"/>
      <c r="N61" s="87"/>
      <c r="O61" s="87"/>
      <c r="P61" s="87"/>
      <c r="Q61" s="87"/>
      <c r="R61" s="87"/>
    </row>
    <row r="62" spans="1:18" outlineLevel="1" x14ac:dyDescent="0.15">
      <c r="A62" s="87"/>
      <c r="B62" s="299"/>
      <c r="C62" s="87"/>
      <c r="D62" s="137"/>
      <c r="E62" s="137"/>
      <c r="F62" s="137"/>
      <c r="G62" s="137"/>
      <c r="H62" s="137"/>
      <c r="I62" s="137"/>
      <c r="J62" s="87"/>
      <c r="K62" s="87"/>
      <c r="L62" s="87"/>
      <c r="M62" s="87"/>
      <c r="N62" s="87"/>
      <c r="O62" s="87"/>
      <c r="P62" s="87"/>
      <c r="Q62" s="87"/>
      <c r="R62" s="87"/>
    </row>
    <row r="63" spans="1:18" outlineLevel="1" x14ac:dyDescent="0.15">
      <c r="A63" s="87" t="s">
        <v>67</v>
      </c>
      <c r="B63" s="347">
        <v>14</v>
      </c>
      <c r="C63" s="87" t="s">
        <v>554</v>
      </c>
      <c r="D63" s="137" t="s">
        <v>95</v>
      </c>
      <c r="E63" s="137"/>
      <c r="F63" s="137"/>
      <c r="G63" s="137"/>
      <c r="H63" s="137"/>
      <c r="I63" s="137"/>
      <c r="J63" s="87"/>
      <c r="K63" s="87"/>
      <c r="L63" s="87"/>
      <c r="M63" s="87"/>
      <c r="N63" s="87"/>
      <c r="O63" s="87"/>
      <c r="P63" s="87"/>
      <c r="Q63" s="87"/>
      <c r="R63" s="87"/>
    </row>
    <row r="64" spans="1:18" ht="14" outlineLevel="1" thickBot="1" x14ac:dyDescent="0.2">
      <c r="A64" s="87"/>
      <c r="B64" s="299"/>
      <c r="C64" s="87"/>
      <c r="D64" s="137"/>
      <c r="E64" s="137"/>
      <c r="F64" s="137"/>
      <c r="G64" s="137"/>
      <c r="H64" s="137"/>
      <c r="I64" s="137"/>
      <c r="J64" s="87"/>
      <c r="K64" s="87"/>
      <c r="L64" s="87"/>
      <c r="M64" s="87"/>
      <c r="N64" s="87"/>
      <c r="O64" s="87"/>
      <c r="P64" s="87"/>
      <c r="Q64" s="87"/>
      <c r="R64" s="87"/>
    </row>
    <row r="65" spans="1:18" ht="14" outlineLevel="1" thickBot="1" x14ac:dyDescent="0.2">
      <c r="A65" s="87" t="s">
        <v>89</v>
      </c>
      <c r="B65" s="41">
        <f>B61-B63</f>
        <v>29.562542267191674</v>
      </c>
      <c r="C65" s="87" t="s">
        <v>554</v>
      </c>
      <c r="D65" s="137"/>
      <c r="E65" s="137"/>
      <c r="F65" s="137"/>
      <c r="G65" s="137"/>
      <c r="H65" s="137"/>
      <c r="I65" s="137"/>
      <c r="J65" s="87"/>
      <c r="K65" s="87"/>
      <c r="L65" s="87"/>
      <c r="M65" s="87"/>
      <c r="N65" s="87"/>
      <c r="O65" s="87"/>
      <c r="P65" s="87"/>
      <c r="Q65" s="87"/>
      <c r="R65" s="87"/>
    </row>
    <row r="66" spans="1:18" ht="14" outlineLevel="1" thickBot="1" x14ac:dyDescent="0.2">
      <c r="A66" s="87"/>
      <c r="B66" s="87"/>
      <c r="C66" s="87"/>
      <c r="D66" s="137"/>
      <c r="E66" s="137"/>
      <c r="F66" s="137"/>
      <c r="G66" s="137"/>
      <c r="H66" s="137"/>
      <c r="I66" s="137"/>
      <c r="J66" s="87"/>
      <c r="K66" s="87"/>
      <c r="L66" s="87"/>
      <c r="M66" s="87"/>
      <c r="N66" s="87"/>
      <c r="O66" s="87"/>
      <c r="P66" s="87"/>
      <c r="Q66" s="87"/>
      <c r="R66" s="87"/>
    </row>
    <row r="67" spans="1:18" ht="14" outlineLevel="1" thickBot="1" x14ac:dyDescent="0.2">
      <c r="A67" s="729" t="s">
        <v>1073</v>
      </c>
      <c r="B67" s="914">
        <f>10*LOG10(B30)+10*LOG10(B28/B57)</f>
        <v>14.802317482360362</v>
      </c>
      <c r="C67" s="729" t="s">
        <v>554</v>
      </c>
      <c r="D67" s="137" t="s">
        <v>1074</v>
      </c>
      <c r="E67" s="137"/>
      <c r="F67" s="137"/>
      <c r="G67" s="137"/>
      <c r="H67" s="137"/>
      <c r="I67" s="137"/>
      <c r="J67" s="87"/>
      <c r="K67" s="87"/>
      <c r="L67" s="87"/>
      <c r="M67" s="87"/>
      <c r="N67" s="87"/>
      <c r="O67" s="87"/>
      <c r="P67" s="87"/>
      <c r="Q67" s="87"/>
      <c r="R67" s="87"/>
    </row>
    <row r="68" spans="1:18" outlineLevel="1" x14ac:dyDescent="0.15">
      <c r="A68" s="87"/>
      <c r="B68" s="87"/>
      <c r="C68" s="87"/>
      <c r="D68" s="137"/>
      <c r="E68" s="137"/>
      <c r="F68" s="137"/>
      <c r="G68" s="137"/>
      <c r="H68" s="137"/>
      <c r="I68" s="137"/>
      <c r="J68" s="87"/>
      <c r="K68" s="87"/>
      <c r="L68" s="87"/>
      <c r="M68" s="87"/>
      <c r="N68" s="87"/>
      <c r="O68" s="87"/>
      <c r="P68" s="87"/>
      <c r="Q68" s="87"/>
      <c r="R68" s="87"/>
    </row>
    <row r="69" spans="1:18" x14ac:dyDescent="0.15">
      <c r="B69" s="39" t="s">
        <v>512</v>
      </c>
      <c r="C69" t="s">
        <v>512</v>
      </c>
    </row>
    <row r="70" spans="1:18" x14ac:dyDescent="0.15">
      <c r="B70" s="39"/>
    </row>
  </sheetData>
  <phoneticPr fontId="0" type="noConversion"/>
  <pageMargins left="0.75" right="0.75" top="1" bottom="1" header="0.5" footer="0.5"/>
  <pageSetup paperSize="9" orientation="portrait" horizontalDpi="4294967293" verticalDpi="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11"/>
  </sheetPr>
  <dimension ref="A1:R92"/>
  <sheetViews>
    <sheetView tabSelected="1" workbookViewId="0">
      <selection activeCell="D67" sqref="D67"/>
    </sheetView>
  </sheetViews>
  <sheetFormatPr baseColWidth="10" defaultColWidth="10.6640625" defaultRowHeight="13" outlineLevelRow="1" outlineLevelCol="1" x14ac:dyDescent="0.15"/>
  <cols>
    <col min="1" max="1" width="40" customWidth="1"/>
    <col min="2" max="2" width="15.1640625" customWidth="1"/>
    <col min="3" max="3" width="12.33203125" customWidth="1"/>
    <col min="4" max="4" width="25.5" customWidth="1" outlineLevel="1"/>
    <col min="5" max="6" width="9.1640625" customWidth="1" outlineLevel="1"/>
    <col min="7" max="7" width="9.5" customWidth="1" outlineLevel="1"/>
    <col min="8" max="8" width="9.1640625" customWidth="1" outlineLevel="1"/>
    <col min="9" max="9" width="14.33203125" customWidth="1" outlineLevel="1"/>
    <col min="10" max="10" width="22.5" customWidth="1" outlineLevel="1"/>
    <col min="11" max="256" width="8.83203125" customWidth="1"/>
  </cols>
  <sheetData>
    <row r="1" spans="1:18" ht="18" x14ac:dyDescent="0.2">
      <c r="A1" s="44" t="str">
        <f>'Title Page'!F3</f>
        <v>3UCubed</v>
      </c>
      <c r="B1" s="754" t="s">
        <v>868</v>
      </c>
      <c r="C1" s="45" t="s">
        <v>512</v>
      </c>
      <c r="D1" s="681" t="str">
        <f>'Title Page'!F3</f>
        <v>3UCubed</v>
      </c>
      <c r="E1" s="57" t="s">
        <v>512</v>
      </c>
      <c r="F1" s="57" t="str">
        <f>'Title Page'!D23</f>
        <v>Date Data Last Modified:</v>
      </c>
      <c r="G1" s="57"/>
      <c r="H1" s="45"/>
      <c r="I1" s="45"/>
      <c r="J1" s="45"/>
      <c r="K1" s="45"/>
      <c r="L1" s="45"/>
      <c r="M1" s="45"/>
      <c r="N1" s="45"/>
      <c r="O1" s="45"/>
      <c r="P1" s="45"/>
      <c r="Q1" s="45"/>
      <c r="R1" s="45"/>
    </row>
    <row r="2" spans="1:18" ht="20" x14ac:dyDescent="0.2">
      <c r="A2" s="46" t="s">
        <v>559</v>
      </c>
      <c r="B2" s="45"/>
      <c r="C2" s="45"/>
      <c r="D2" s="57" t="str">
        <f>'Title Page'!G1</f>
        <v xml:space="preserve"> Version: 2.5.3</v>
      </c>
      <c r="E2" s="57"/>
      <c r="F2" s="908">
        <f ca="1">'Title Page'!F23</f>
        <v>45769</v>
      </c>
      <c r="G2" s="57"/>
      <c r="H2" s="45"/>
      <c r="I2" s="45"/>
      <c r="J2" s="45"/>
      <c r="K2" s="45"/>
      <c r="L2" s="45"/>
      <c r="M2" s="45"/>
      <c r="N2" s="45"/>
      <c r="O2" s="45"/>
      <c r="P2" s="45"/>
      <c r="Q2" s="45"/>
      <c r="R2" s="45"/>
    </row>
    <row r="3" spans="1:18" x14ac:dyDescent="0.15">
      <c r="A3" s="45"/>
      <c r="B3" s="45"/>
      <c r="C3" s="45"/>
      <c r="D3" s="57"/>
      <c r="E3" s="57"/>
      <c r="F3" s="57"/>
      <c r="G3" s="57"/>
      <c r="H3" s="45"/>
      <c r="I3" s="45"/>
      <c r="J3" s="45"/>
      <c r="K3" s="45"/>
      <c r="L3" s="45"/>
      <c r="M3" s="45"/>
      <c r="N3" s="45"/>
      <c r="O3" s="45"/>
      <c r="P3" s="45"/>
      <c r="Q3" s="45"/>
      <c r="R3" s="45"/>
    </row>
    <row r="4" spans="1:18" x14ac:dyDescent="0.15">
      <c r="A4" s="30" t="s">
        <v>513</v>
      </c>
      <c r="B4" s="30" t="s">
        <v>514</v>
      </c>
      <c r="C4" s="30" t="s">
        <v>560</v>
      </c>
      <c r="D4" s="30" t="s">
        <v>561</v>
      </c>
      <c r="E4" s="38"/>
      <c r="F4" s="38"/>
      <c r="G4" s="38"/>
      <c r="H4" s="38"/>
      <c r="I4" s="38"/>
      <c r="J4" s="38"/>
      <c r="K4" s="38"/>
      <c r="L4" s="38"/>
      <c r="M4" s="38"/>
      <c r="N4" s="38"/>
      <c r="O4" s="38"/>
      <c r="P4" s="38"/>
      <c r="Q4" s="38"/>
      <c r="R4" s="38"/>
    </row>
    <row r="5" spans="1:18" x14ac:dyDescent="0.15">
      <c r="A5" s="61" t="s">
        <v>562</v>
      </c>
      <c r="B5" s="24"/>
      <c r="C5" s="24"/>
      <c r="D5" s="24"/>
      <c r="E5" s="24"/>
      <c r="F5" s="24"/>
      <c r="G5" s="24"/>
      <c r="H5" s="24"/>
      <c r="I5" s="24"/>
      <c r="J5" s="24"/>
      <c r="K5" s="24"/>
      <c r="L5" s="24"/>
      <c r="M5" s="24"/>
      <c r="N5" s="24"/>
      <c r="O5" s="24"/>
      <c r="P5" s="24"/>
      <c r="Q5" s="24"/>
      <c r="R5" s="24"/>
    </row>
    <row r="6" spans="1:18" x14ac:dyDescent="0.15">
      <c r="A6" s="87" t="s">
        <v>621</v>
      </c>
      <c r="B6" s="437">
        <f>Transmitters!E52</f>
        <v>1</v>
      </c>
      <c r="C6" s="87" t="s">
        <v>578</v>
      </c>
      <c r="D6" s="137" t="s">
        <v>104</v>
      </c>
      <c r="E6" s="137"/>
      <c r="F6" s="137"/>
      <c r="G6" s="137"/>
      <c r="H6" s="137"/>
      <c r="I6" s="137"/>
      <c r="J6" s="137"/>
      <c r="K6" s="87"/>
      <c r="L6" s="432" t="s">
        <v>100</v>
      </c>
      <c r="M6" s="425"/>
      <c r="N6" s="425"/>
      <c r="O6" s="425"/>
      <c r="P6" s="425"/>
      <c r="Q6" s="424"/>
      <c r="R6" s="87"/>
    </row>
    <row r="7" spans="1:18" x14ac:dyDescent="0.15">
      <c r="A7" s="101" t="s">
        <v>584</v>
      </c>
      <c r="B7" s="126">
        <f>10*LOG10(B6)</f>
        <v>0</v>
      </c>
      <c r="C7" s="87" t="s">
        <v>579</v>
      </c>
      <c r="D7" s="137" t="s">
        <v>96</v>
      </c>
      <c r="E7" s="137"/>
      <c r="F7" s="137"/>
      <c r="G7" s="137"/>
      <c r="H7" s="137"/>
      <c r="I7" s="137"/>
      <c r="J7" s="137"/>
      <c r="K7" s="87"/>
      <c r="L7" s="87"/>
      <c r="M7" s="87"/>
      <c r="N7" s="87"/>
      <c r="O7" s="87"/>
      <c r="P7" s="87"/>
      <c r="Q7" s="87"/>
      <c r="R7" s="87"/>
    </row>
    <row r="8" spans="1:18" x14ac:dyDescent="0.15">
      <c r="A8" s="101" t="s">
        <v>585</v>
      </c>
      <c r="B8" s="353">
        <f>B7+30</f>
        <v>30</v>
      </c>
      <c r="C8" s="87" t="s">
        <v>580</v>
      </c>
      <c r="D8" s="137" t="s">
        <v>97</v>
      </c>
      <c r="E8" s="137"/>
      <c r="F8" s="137"/>
      <c r="G8" s="137"/>
      <c r="H8" s="137"/>
      <c r="I8" s="137"/>
      <c r="J8" s="137"/>
      <c r="K8" s="87"/>
      <c r="L8" s="87"/>
      <c r="M8" s="87"/>
      <c r="N8" s="87"/>
      <c r="O8" s="87"/>
      <c r="P8" s="87"/>
      <c r="Q8" s="87"/>
      <c r="R8" s="87"/>
    </row>
    <row r="9" spans="1:18" x14ac:dyDescent="0.15">
      <c r="A9" s="87" t="s">
        <v>1052</v>
      </c>
      <c r="B9" s="437">
        <f>Transmitters!I71</f>
        <v>0.996</v>
      </c>
      <c r="C9" s="87" t="s">
        <v>554</v>
      </c>
      <c r="D9" s="137" t="s">
        <v>106</v>
      </c>
      <c r="E9" s="137"/>
      <c r="F9" s="137"/>
      <c r="G9" s="137"/>
      <c r="H9" s="137"/>
      <c r="I9" s="137"/>
      <c r="J9" s="137"/>
      <c r="K9" s="87"/>
      <c r="L9" s="87"/>
      <c r="M9" s="87"/>
      <c r="N9" s="87"/>
      <c r="O9" s="87"/>
      <c r="P9" s="87"/>
      <c r="Q9" s="87"/>
      <c r="R9" s="87"/>
    </row>
    <row r="10" spans="1:18" x14ac:dyDescent="0.15">
      <c r="A10" s="87" t="s">
        <v>610</v>
      </c>
      <c r="B10" s="437">
        <f>INDEX('Antenna Gain'!H43:H49,'Antenna Gain'!E41,1)</f>
        <v>0</v>
      </c>
      <c r="C10" s="87" t="s">
        <v>762</v>
      </c>
      <c r="D10" s="137" t="s">
        <v>446</v>
      </c>
      <c r="E10" s="137"/>
      <c r="F10" s="137"/>
      <c r="G10" s="137"/>
      <c r="H10" s="137"/>
      <c r="I10" s="137"/>
      <c r="J10" s="137"/>
      <c r="K10" s="87"/>
      <c r="L10" s="87"/>
      <c r="M10" s="87"/>
      <c r="N10" s="87"/>
      <c r="O10" s="87"/>
      <c r="P10" s="87"/>
      <c r="Q10" s="87"/>
      <c r="R10" s="87"/>
    </row>
    <row r="11" spans="1:18" x14ac:dyDescent="0.15">
      <c r="A11" s="87" t="s">
        <v>564</v>
      </c>
      <c r="B11" s="126">
        <f>B7-B9+B10</f>
        <v>-0.996</v>
      </c>
      <c r="C11" s="87" t="s">
        <v>579</v>
      </c>
      <c r="D11" s="137" t="s">
        <v>597</v>
      </c>
      <c r="E11" s="137"/>
      <c r="F11" s="137"/>
      <c r="G11" s="137"/>
      <c r="H11" s="137"/>
      <c r="I11" s="137"/>
      <c r="J11" s="137"/>
      <c r="K11" s="87"/>
      <c r="L11" s="87"/>
      <c r="M11" s="87"/>
      <c r="N11" s="87"/>
      <c r="O11" s="87"/>
      <c r="P11" s="87"/>
      <c r="Q11" s="87"/>
      <c r="R11" s="87"/>
    </row>
    <row r="12" spans="1:18" x14ac:dyDescent="0.15">
      <c r="A12" s="61" t="s">
        <v>565</v>
      </c>
      <c r="B12" s="62"/>
      <c r="C12" s="24"/>
      <c r="D12" s="24"/>
      <c r="E12" s="24"/>
      <c r="F12" s="24"/>
      <c r="G12" s="24"/>
      <c r="H12" s="24"/>
      <c r="I12" s="24"/>
      <c r="J12" s="24"/>
      <c r="K12" s="24"/>
      <c r="L12" s="24"/>
      <c r="M12" s="24"/>
      <c r="N12" s="24"/>
      <c r="O12" s="24"/>
      <c r="P12" s="24"/>
      <c r="Q12" s="24"/>
      <c r="R12" s="24"/>
    </row>
    <row r="13" spans="1:18" x14ac:dyDescent="0.15">
      <c r="A13" s="87" t="s">
        <v>602</v>
      </c>
      <c r="B13" s="437">
        <f>'Antenna Pointing Losses'!K85</f>
        <v>1.8749999999999999E-2</v>
      </c>
      <c r="C13" s="87" t="s">
        <v>554</v>
      </c>
      <c r="D13" s="137" t="s">
        <v>447</v>
      </c>
      <c r="E13" s="137"/>
      <c r="F13" s="137"/>
      <c r="G13" s="137"/>
      <c r="H13" s="137"/>
      <c r="I13" s="137"/>
      <c r="J13" s="137"/>
      <c r="K13" s="87"/>
      <c r="L13" s="87"/>
      <c r="M13" s="87"/>
      <c r="N13" s="87"/>
      <c r="O13" s="87"/>
      <c r="P13" s="87"/>
      <c r="Q13" s="87"/>
      <c r="R13" s="87"/>
    </row>
    <row r="14" spans="1:18" x14ac:dyDescent="0.15">
      <c r="A14" s="87" t="s">
        <v>1053</v>
      </c>
      <c r="B14" s="437">
        <f>'Antenna Polarization Loss'!F60</f>
        <v>0.50809733545008262</v>
      </c>
      <c r="C14" s="87" t="s">
        <v>554</v>
      </c>
      <c r="D14" s="137" t="s">
        <v>101</v>
      </c>
      <c r="E14" s="137"/>
      <c r="F14" s="137"/>
      <c r="G14" s="137"/>
      <c r="H14" s="137"/>
      <c r="I14" s="137"/>
      <c r="J14" s="137"/>
      <c r="K14" s="87"/>
      <c r="L14" s="87"/>
      <c r="M14" s="87"/>
      <c r="N14" s="87"/>
      <c r="O14" s="87"/>
      <c r="P14" s="87"/>
      <c r="Q14" s="87"/>
      <c r="R14" s="87"/>
    </row>
    <row r="15" spans="1:18" x14ac:dyDescent="0.15">
      <c r="A15" s="87" t="s">
        <v>553</v>
      </c>
      <c r="B15" s="299">
        <f>Frequency!M18</f>
        <v>146.94262160665141</v>
      </c>
      <c r="C15" s="87" t="s">
        <v>554</v>
      </c>
      <c r="D15" s="137" t="s">
        <v>76</v>
      </c>
      <c r="E15" s="137"/>
      <c r="F15" s="137"/>
      <c r="G15" s="137"/>
      <c r="H15" s="137"/>
      <c r="I15" s="137"/>
      <c r="J15" s="137"/>
      <c r="K15" s="87"/>
      <c r="L15" s="87"/>
      <c r="M15" s="87"/>
      <c r="N15" s="87"/>
      <c r="O15" s="87"/>
      <c r="P15" s="87"/>
      <c r="Q15" s="87"/>
      <c r="R15" s="87"/>
    </row>
    <row r="16" spans="1:18" x14ac:dyDescent="0.15">
      <c r="A16" s="87" t="s">
        <v>608</v>
      </c>
      <c r="B16" s="438">
        <f>'Atmos. &amp; Ionos. Losses'!D23</f>
        <v>1.1000000000000001</v>
      </c>
      <c r="C16" s="87" t="s">
        <v>554</v>
      </c>
      <c r="D16" s="137" t="s">
        <v>1054</v>
      </c>
      <c r="E16" s="137"/>
      <c r="F16" s="137"/>
      <c r="G16" s="137"/>
      <c r="H16" s="137"/>
      <c r="I16" s="137"/>
      <c r="J16" s="137"/>
      <c r="K16" s="87"/>
      <c r="L16" s="87"/>
      <c r="M16" s="87"/>
      <c r="N16" s="87"/>
      <c r="O16" s="87"/>
      <c r="P16" s="87"/>
      <c r="Q16" s="87"/>
      <c r="R16" s="87"/>
    </row>
    <row r="17" spans="1:18" x14ac:dyDescent="0.15">
      <c r="A17" s="87" t="s">
        <v>609</v>
      </c>
      <c r="B17" s="437">
        <f>INDEX('Atmos. &amp; Ionos. Losses'!D45:D48,Frequency!L16,1)</f>
        <v>0.4</v>
      </c>
      <c r="C17" s="87" t="s">
        <v>554</v>
      </c>
      <c r="D17" s="137" t="s">
        <v>0</v>
      </c>
      <c r="E17" s="137"/>
      <c r="F17" s="137"/>
      <c r="G17" s="137"/>
      <c r="H17" s="137"/>
      <c r="I17" s="137"/>
      <c r="J17" s="137"/>
      <c r="K17" s="87"/>
      <c r="L17" s="87"/>
      <c r="M17" s="87"/>
      <c r="N17" s="87"/>
      <c r="O17" s="87"/>
      <c r="P17" s="87"/>
      <c r="Q17" s="87"/>
      <c r="R17" s="87"/>
    </row>
    <row r="18" spans="1:18" x14ac:dyDescent="0.15">
      <c r="A18" s="87" t="s">
        <v>603</v>
      </c>
      <c r="B18" s="439">
        <v>0</v>
      </c>
      <c r="C18" s="87" t="s">
        <v>554</v>
      </c>
      <c r="D18" s="137" t="s">
        <v>8</v>
      </c>
      <c r="E18" s="137"/>
      <c r="F18" s="137"/>
      <c r="G18" s="137"/>
      <c r="H18" s="137"/>
      <c r="I18" s="137"/>
      <c r="J18" s="137" t="s">
        <v>512</v>
      </c>
      <c r="K18" s="87"/>
      <c r="L18" s="87"/>
      <c r="M18" s="87"/>
      <c r="N18" s="87"/>
      <c r="O18" s="87"/>
      <c r="P18" s="87"/>
      <c r="Q18" s="87"/>
      <c r="R18" s="87"/>
    </row>
    <row r="19" spans="1:18" x14ac:dyDescent="0.15">
      <c r="A19" s="87" t="s">
        <v>569</v>
      </c>
      <c r="B19" s="429">
        <f>B11-SUM(B13:B18)</f>
        <v>-149.9654689421015</v>
      </c>
      <c r="C19" s="87" t="s">
        <v>579</v>
      </c>
      <c r="D19" s="137" t="s">
        <v>116</v>
      </c>
      <c r="E19" s="137"/>
      <c r="F19" s="137"/>
      <c r="G19" s="137"/>
      <c r="H19" s="137"/>
      <c r="I19" s="137"/>
      <c r="J19" s="137"/>
      <c r="K19" s="87"/>
      <c r="L19" s="87"/>
      <c r="M19" s="87"/>
      <c r="N19" s="87"/>
      <c r="O19" s="87"/>
      <c r="P19" s="87"/>
      <c r="Q19" s="87"/>
      <c r="R19" s="87"/>
    </row>
    <row r="20" spans="1:18" x14ac:dyDescent="0.15">
      <c r="A20" s="61" t="s">
        <v>99</v>
      </c>
      <c r="B20" s="24"/>
      <c r="C20" s="24"/>
      <c r="D20" s="24"/>
      <c r="E20" s="24"/>
      <c r="F20" s="24"/>
      <c r="G20" s="24"/>
      <c r="H20" s="24"/>
      <c r="I20" s="24"/>
      <c r="J20" s="37" t="s">
        <v>512</v>
      </c>
      <c r="K20" s="43"/>
      <c r="L20" s="43"/>
      <c r="M20" s="43"/>
      <c r="N20" s="43"/>
      <c r="O20" s="24"/>
      <c r="P20" s="24"/>
      <c r="Q20" s="24"/>
      <c r="R20" s="24"/>
    </row>
    <row r="21" spans="1:18" outlineLevel="1" x14ac:dyDescent="0.15">
      <c r="A21" s="61" t="s">
        <v>630</v>
      </c>
      <c r="B21" s="24"/>
      <c r="C21" s="24"/>
      <c r="D21" s="24"/>
      <c r="E21" s="24"/>
      <c r="F21" s="24"/>
      <c r="G21" s="24"/>
      <c r="H21" s="24"/>
      <c r="I21" s="24"/>
      <c r="J21" s="37" t="s">
        <v>512</v>
      </c>
      <c r="K21" s="43"/>
      <c r="L21" s="43"/>
      <c r="M21" s="43"/>
      <c r="N21" s="43"/>
      <c r="O21" s="24"/>
      <c r="P21" s="24"/>
      <c r="Q21" s="24"/>
      <c r="R21" s="24"/>
    </row>
    <row r="22" spans="1:18" outlineLevel="1" x14ac:dyDescent="0.15">
      <c r="A22" s="436" t="s">
        <v>591</v>
      </c>
      <c r="B22" s="437">
        <f>'Antenna Pointing Losses'!K102</f>
        <v>0.52017693756532157</v>
      </c>
      <c r="C22" s="87" t="s">
        <v>554</v>
      </c>
      <c r="D22" s="137" t="s">
        <v>451</v>
      </c>
      <c r="E22" s="137"/>
      <c r="F22" s="137"/>
      <c r="G22" s="137"/>
      <c r="H22" s="137"/>
      <c r="I22" s="137"/>
      <c r="J22" s="137"/>
      <c r="K22" s="299"/>
      <c r="L22" s="87"/>
      <c r="M22" s="87"/>
      <c r="N22" s="87"/>
      <c r="O22" s="87"/>
      <c r="P22" s="87"/>
      <c r="Q22" s="87"/>
      <c r="R22" s="87"/>
    </row>
    <row r="23" spans="1:18" outlineLevel="1" x14ac:dyDescent="0.15">
      <c r="A23" s="87" t="s">
        <v>571</v>
      </c>
      <c r="B23" s="437">
        <f>INDEX('Antenna Gain'!N60:N63,'Antenna Gain'!E58,1)</f>
        <v>18.649999999999999</v>
      </c>
      <c r="C23" s="87" t="s">
        <v>762</v>
      </c>
      <c r="D23" s="137" t="s">
        <v>452</v>
      </c>
      <c r="E23" s="137"/>
      <c r="F23" s="137"/>
      <c r="G23" s="137"/>
      <c r="H23" s="137"/>
      <c r="I23" s="137"/>
      <c r="J23" s="137"/>
      <c r="K23" s="299"/>
      <c r="L23" s="87"/>
      <c r="M23" s="87"/>
      <c r="N23" s="87"/>
      <c r="O23" s="87"/>
      <c r="P23" s="87"/>
      <c r="Q23" s="87"/>
      <c r="R23" s="87"/>
    </row>
    <row r="24" spans="1:18" outlineLevel="1" x14ac:dyDescent="0.15">
      <c r="A24" s="87" t="s">
        <v>15</v>
      </c>
      <c r="B24" s="437">
        <f>Receivers!J124</f>
        <v>0.98520000000000008</v>
      </c>
      <c r="C24" s="87" t="s">
        <v>554</v>
      </c>
      <c r="D24" s="137" t="s">
        <v>16</v>
      </c>
      <c r="E24" s="137"/>
      <c r="F24" s="137"/>
      <c r="G24" s="137"/>
      <c r="H24" s="137"/>
      <c r="I24" s="137"/>
      <c r="J24" s="137"/>
      <c r="K24" s="87"/>
      <c r="L24" s="87"/>
      <c r="M24" s="87"/>
      <c r="N24" s="87"/>
      <c r="O24" s="87"/>
      <c r="P24" s="87"/>
      <c r="Q24" s="87"/>
      <c r="R24" s="87"/>
    </row>
    <row r="25" spans="1:18" outlineLevel="1" x14ac:dyDescent="0.15">
      <c r="A25" s="87" t="s">
        <v>572</v>
      </c>
      <c r="B25" s="440">
        <f>Receivers!J147</f>
        <v>438.67230536465428</v>
      </c>
      <c r="C25" s="87" t="s">
        <v>582</v>
      </c>
      <c r="D25" s="137" t="s">
        <v>14</v>
      </c>
      <c r="E25" s="137"/>
      <c r="F25" s="137"/>
      <c r="G25" s="137"/>
      <c r="H25" s="137"/>
      <c r="I25" s="137"/>
      <c r="J25" s="137"/>
      <c r="K25" s="440"/>
      <c r="L25" s="87"/>
      <c r="M25" s="87"/>
      <c r="N25" s="87"/>
      <c r="O25" s="87"/>
      <c r="P25" s="87"/>
      <c r="Q25" s="87"/>
      <c r="R25" s="87"/>
    </row>
    <row r="26" spans="1:18" outlineLevel="1" x14ac:dyDescent="0.15">
      <c r="A26" s="87" t="s">
        <v>573</v>
      </c>
      <c r="B26" s="299">
        <f>B23-B24-10*LOG10(B25)</f>
        <v>-8.7566021701955599</v>
      </c>
      <c r="C26" s="87" t="s">
        <v>583</v>
      </c>
      <c r="D26" s="137" t="s">
        <v>90</v>
      </c>
      <c r="E26" s="137"/>
      <c r="F26" s="137"/>
      <c r="G26" s="137"/>
      <c r="H26" s="137"/>
      <c r="I26" s="137"/>
      <c r="J26" s="137"/>
      <c r="K26" s="299"/>
      <c r="L26" s="87"/>
      <c r="M26" s="87"/>
      <c r="N26" s="87"/>
      <c r="O26" s="87"/>
      <c r="P26" s="87"/>
      <c r="Q26" s="87"/>
      <c r="R26" s="87"/>
    </row>
    <row r="27" spans="1:18" outlineLevel="1" x14ac:dyDescent="0.15">
      <c r="A27" s="87" t="s">
        <v>574</v>
      </c>
      <c r="B27" s="429">
        <f>B19-B22-F27+B26</f>
        <v>69.357751950137626</v>
      </c>
      <c r="C27" s="87" t="s">
        <v>588</v>
      </c>
      <c r="D27" s="444" t="s">
        <v>586</v>
      </c>
      <c r="E27" s="445"/>
      <c r="F27" s="445">
        <v>-228.6</v>
      </c>
      <c r="G27" s="446" t="s">
        <v>587</v>
      </c>
      <c r="H27" s="192"/>
      <c r="I27" s="137"/>
      <c r="J27" s="137"/>
      <c r="K27" s="299"/>
      <c r="L27" s="87"/>
      <c r="M27" s="87"/>
      <c r="N27" s="87"/>
      <c r="O27" s="87"/>
      <c r="P27" s="87"/>
      <c r="Q27" s="87"/>
      <c r="R27" s="87"/>
    </row>
    <row r="28" spans="1:18" outlineLevel="1" x14ac:dyDescent="0.15">
      <c r="A28" s="87" t="s">
        <v>575</v>
      </c>
      <c r="B28" s="396">
        <v>9600</v>
      </c>
      <c r="C28" s="87" t="s">
        <v>589</v>
      </c>
      <c r="D28" s="137" t="s">
        <v>18</v>
      </c>
      <c r="E28" s="137"/>
      <c r="F28" s="137"/>
      <c r="G28" s="137"/>
      <c r="H28" s="137"/>
      <c r="I28" s="137"/>
      <c r="J28" s="137"/>
      <c r="K28" s="450"/>
      <c r="L28" s="87"/>
      <c r="M28" s="87"/>
      <c r="N28" s="87"/>
      <c r="O28" s="87"/>
      <c r="P28" s="87"/>
      <c r="Q28" s="87"/>
      <c r="R28" s="87"/>
    </row>
    <row r="29" spans="1:18" outlineLevel="1" x14ac:dyDescent="0.15">
      <c r="A29" s="101" t="s">
        <v>590</v>
      </c>
      <c r="B29" s="447">
        <f>10*LOG10(B28)</f>
        <v>39.822712330395682</v>
      </c>
      <c r="C29" s="87" t="s">
        <v>588</v>
      </c>
      <c r="D29" s="137" t="s">
        <v>19</v>
      </c>
      <c r="E29" s="137"/>
      <c r="F29" s="137"/>
      <c r="G29" s="137"/>
      <c r="H29" s="137"/>
      <c r="I29" s="137"/>
      <c r="J29" s="137"/>
      <c r="K29" s="299"/>
      <c r="L29" s="87"/>
      <c r="M29" s="87"/>
      <c r="N29" s="87"/>
      <c r="O29" s="87"/>
      <c r="P29" s="87"/>
      <c r="Q29" s="87"/>
      <c r="R29" s="87"/>
    </row>
    <row r="30" spans="1:18" outlineLevel="1" x14ac:dyDescent="0.15">
      <c r="A30" s="87" t="s">
        <v>17</v>
      </c>
      <c r="B30" s="429">
        <f>B27-B29</f>
        <v>29.535039619741944</v>
      </c>
      <c r="C30" s="87" t="s">
        <v>554</v>
      </c>
      <c r="D30" s="137" t="s">
        <v>512</v>
      </c>
      <c r="E30" s="137"/>
      <c r="F30" s="137"/>
      <c r="G30" s="137"/>
      <c r="H30" s="137"/>
      <c r="I30" s="137"/>
      <c r="J30" s="137"/>
      <c r="K30" s="299"/>
      <c r="L30" s="87"/>
      <c r="M30" s="87"/>
      <c r="N30" s="87"/>
      <c r="O30" s="87"/>
      <c r="P30" s="87"/>
      <c r="Q30" s="87"/>
      <c r="R30" s="87"/>
    </row>
    <row r="31" spans="1:18" outlineLevel="1" x14ac:dyDescent="0.15">
      <c r="A31" s="87"/>
      <c r="B31" s="441"/>
      <c r="C31" s="87"/>
      <c r="D31" s="137"/>
      <c r="E31" s="137"/>
      <c r="F31" s="137"/>
      <c r="G31" s="137"/>
      <c r="H31" s="137"/>
      <c r="I31" s="137"/>
      <c r="J31" s="137"/>
      <c r="K31" s="299"/>
      <c r="L31" s="87"/>
      <c r="M31" s="87"/>
      <c r="N31" s="87"/>
      <c r="O31" s="87"/>
      <c r="P31" s="87"/>
      <c r="Q31" s="87"/>
      <c r="R31" s="87"/>
    </row>
    <row r="32" spans="1:18" outlineLevel="1" x14ac:dyDescent="0.15">
      <c r="A32" s="87" t="s">
        <v>120</v>
      </c>
      <c r="B32" s="453" t="str">
        <f>INDEX('Modulation-Demodulation Method'!C33:C51,'Modulation-Demodulation Method'!E30,1)</f>
        <v>G3RUH FSK</v>
      </c>
      <c r="C32" s="207" t="s">
        <v>512</v>
      </c>
      <c r="D32" s="456" t="s">
        <v>122</v>
      </c>
      <c r="E32" s="137"/>
      <c r="F32" s="137"/>
      <c r="G32" s="137"/>
      <c r="H32" s="137"/>
      <c r="I32" s="137"/>
      <c r="J32" s="300"/>
      <c r="K32" s="87"/>
      <c r="L32" s="87"/>
      <c r="M32" s="87"/>
      <c r="N32" s="87"/>
      <c r="O32" s="87"/>
      <c r="P32" s="87"/>
      <c r="Q32" s="87"/>
      <c r="R32" s="87"/>
    </row>
    <row r="33" spans="1:18" outlineLevel="1" x14ac:dyDescent="0.15">
      <c r="A33" s="87" t="s">
        <v>117</v>
      </c>
      <c r="B33" s="455" t="str">
        <f>INDEX('Modulation-Demodulation Method'!D33:D51,'Modulation-Demodulation Method'!E30,1)</f>
        <v>None</v>
      </c>
      <c r="C33" s="454"/>
      <c r="D33" s="435" t="s">
        <v>121</v>
      </c>
      <c r="E33" s="433"/>
      <c r="F33" s="137"/>
      <c r="G33" s="137"/>
      <c r="H33" s="137"/>
      <c r="I33" s="137"/>
      <c r="J33" s="137"/>
      <c r="K33" s="299"/>
      <c r="L33" s="87"/>
      <c r="M33" s="87"/>
      <c r="N33" s="87"/>
      <c r="O33" s="87"/>
      <c r="P33" s="87"/>
      <c r="Q33" s="87"/>
      <c r="R33" s="87"/>
    </row>
    <row r="34" spans="1:18" outlineLevel="1" x14ac:dyDescent="0.15">
      <c r="A34" s="87"/>
      <c r="B34" s="442"/>
      <c r="C34" s="207"/>
      <c r="D34" s="434"/>
      <c r="E34" s="433"/>
      <c r="F34" s="137"/>
      <c r="G34" s="137"/>
      <c r="H34" s="137"/>
      <c r="I34" s="137"/>
      <c r="J34" s="137"/>
      <c r="K34" s="299"/>
      <c r="L34" s="87"/>
      <c r="M34" s="87"/>
      <c r="N34" s="87"/>
      <c r="O34" s="87"/>
      <c r="P34" s="87"/>
      <c r="Q34" s="87"/>
      <c r="R34" s="87"/>
    </row>
    <row r="35" spans="1:18" outlineLevel="1" x14ac:dyDescent="0.15">
      <c r="A35" s="87" t="s">
        <v>21</v>
      </c>
      <c r="B35" s="430">
        <f>INDEX('Modulation-Demodulation Method'!E33:E51,'Modulation-Demodulation Method'!E30,1)</f>
        <v>1.0000000000000001E-5</v>
      </c>
      <c r="C35" s="207"/>
      <c r="D35" s="435" t="s">
        <v>64</v>
      </c>
      <c r="E35" s="433"/>
      <c r="F35" s="137"/>
      <c r="G35" s="137"/>
      <c r="H35" s="137"/>
      <c r="I35" s="137"/>
      <c r="J35" s="137"/>
      <c r="K35" s="299"/>
      <c r="L35" s="87"/>
      <c r="M35" s="87"/>
      <c r="N35" s="87"/>
      <c r="O35" s="87"/>
      <c r="P35" s="87"/>
      <c r="Q35" s="87"/>
      <c r="R35" s="87"/>
    </row>
    <row r="36" spans="1:18" outlineLevel="1" x14ac:dyDescent="0.15">
      <c r="A36" s="87"/>
      <c r="B36" s="442"/>
      <c r="C36" s="207"/>
      <c r="D36" s="434"/>
      <c r="E36" s="433"/>
      <c r="F36" s="137"/>
      <c r="G36" s="137"/>
      <c r="H36" s="137"/>
      <c r="I36" s="137"/>
      <c r="J36" s="137"/>
      <c r="K36" s="299"/>
      <c r="L36" s="87"/>
      <c r="M36" s="87"/>
      <c r="N36" s="87"/>
      <c r="O36" s="87"/>
      <c r="P36" s="87"/>
      <c r="Q36" s="87"/>
      <c r="R36" s="87"/>
    </row>
    <row r="37" spans="1:18" outlineLevel="1" x14ac:dyDescent="0.15">
      <c r="A37" s="87" t="s">
        <v>52</v>
      </c>
      <c r="B37" s="443">
        <f>'Modulation-Demodulation Method'!E53</f>
        <v>1</v>
      </c>
      <c r="C37" s="87" t="s">
        <v>554</v>
      </c>
      <c r="D37" s="137" t="s">
        <v>126</v>
      </c>
      <c r="E37" s="137"/>
      <c r="F37" s="137"/>
      <c r="G37" s="137"/>
      <c r="H37" s="137"/>
      <c r="I37" s="137"/>
      <c r="J37" s="137"/>
      <c r="K37" s="87"/>
      <c r="L37" s="87"/>
      <c r="M37" s="87"/>
      <c r="N37" s="87"/>
      <c r="O37" s="87"/>
      <c r="P37" s="87"/>
      <c r="Q37" s="87"/>
      <c r="R37" s="87"/>
    </row>
    <row r="38" spans="1:18" outlineLevel="1" x14ac:dyDescent="0.15">
      <c r="A38" s="87"/>
      <c r="B38" s="438"/>
      <c r="C38" s="87"/>
      <c r="D38" s="137"/>
      <c r="E38" s="137"/>
      <c r="F38" s="137"/>
      <c r="G38" s="137"/>
      <c r="H38" s="137"/>
      <c r="I38" s="137"/>
      <c r="J38" s="137"/>
      <c r="K38" s="87"/>
      <c r="L38" s="87"/>
      <c r="M38" s="87"/>
      <c r="N38" s="87"/>
      <c r="O38" s="87"/>
      <c r="P38" s="87"/>
      <c r="Q38" s="87"/>
      <c r="R38" s="87"/>
    </row>
    <row r="39" spans="1:18" outlineLevel="1" x14ac:dyDescent="0.15">
      <c r="A39" s="87" t="s">
        <v>576</v>
      </c>
      <c r="B39" s="443">
        <f>INDEX('Modulation-Demodulation Method'!F33:F51,'Modulation-Demodulation Method'!E30,1)</f>
        <v>18</v>
      </c>
      <c r="C39" s="87" t="s">
        <v>554</v>
      </c>
      <c r="D39" s="137" t="s">
        <v>20</v>
      </c>
      <c r="E39" s="137"/>
      <c r="F39" s="137"/>
      <c r="G39" s="137"/>
      <c r="H39" s="137"/>
      <c r="I39" s="137"/>
      <c r="J39" s="137"/>
      <c r="K39" s="299"/>
      <c r="L39" s="87"/>
      <c r="M39" s="87"/>
      <c r="N39" s="87"/>
      <c r="O39" s="87"/>
      <c r="P39" s="87"/>
      <c r="Q39" s="87"/>
      <c r="R39" s="87"/>
    </row>
    <row r="40" spans="1:18" outlineLevel="1" x14ac:dyDescent="0.15">
      <c r="A40" s="87"/>
      <c r="B40" s="438"/>
      <c r="C40" s="87"/>
      <c r="D40" s="137"/>
      <c r="E40" s="137"/>
      <c r="F40" s="137"/>
      <c r="G40" s="137"/>
      <c r="H40" s="137"/>
      <c r="I40" s="137"/>
      <c r="J40" s="137"/>
      <c r="K40" s="299"/>
      <c r="L40" s="87"/>
      <c r="M40" s="87"/>
      <c r="N40" s="87"/>
      <c r="O40" s="87"/>
      <c r="P40" s="87"/>
      <c r="Q40" s="87"/>
      <c r="R40" s="87"/>
    </row>
    <row r="41" spans="1:18" outlineLevel="1" x14ac:dyDescent="0.15">
      <c r="A41" s="87" t="s">
        <v>53</v>
      </c>
      <c r="B41" s="431">
        <f>'Modulation-Demodulation Method'!H32</f>
        <v>19</v>
      </c>
      <c r="C41" s="87" t="s">
        <v>554</v>
      </c>
      <c r="D41" s="137" t="s">
        <v>65</v>
      </c>
      <c r="E41" s="137"/>
      <c r="F41" s="137"/>
      <c r="G41" s="137"/>
      <c r="H41" s="137"/>
      <c r="I41" s="137"/>
      <c r="J41" s="137"/>
      <c r="K41" s="299"/>
      <c r="L41" s="87"/>
      <c r="M41" s="87"/>
      <c r="N41" s="87"/>
      <c r="O41" s="87"/>
      <c r="P41" s="87"/>
      <c r="Q41" s="87"/>
      <c r="R41" s="87"/>
    </row>
    <row r="42" spans="1:18" ht="14" outlineLevel="1" thickBot="1" x14ac:dyDescent="0.2">
      <c r="A42" s="87"/>
      <c r="B42" s="438"/>
      <c r="C42" s="87"/>
      <c r="D42" s="137"/>
      <c r="E42" s="137"/>
      <c r="F42" s="137"/>
      <c r="G42" s="137"/>
      <c r="H42" s="137"/>
      <c r="I42" s="137"/>
      <c r="J42" s="137"/>
      <c r="K42" s="299"/>
      <c r="L42" s="87"/>
      <c r="M42" s="87"/>
      <c r="N42" s="87"/>
      <c r="O42" s="87"/>
      <c r="P42" s="87"/>
      <c r="Q42" s="87"/>
      <c r="R42" s="87"/>
    </row>
    <row r="43" spans="1:18" ht="14" outlineLevel="1" thickBot="1" x14ac:dyDescent="0.2">
      <c r="A43" s="114" t="s">
        <v>577</v>
      </c>
      <c r="B43" s="41">
        <f>B30-B41</f>
        <v>10.535039619741944</v>
      </c>
      <c r="C43" s="87" t="s">
        <v>554</v>
      </c>
      <c r="D43" s="137"/>
      <c r="E43" s="137"/>
      <c r="F43" s="137"/>
      <c r="G43" s="137"/>
      <c r="H43" s="137"/>
      <c r="I43" s="137"/>
      <c r="J43" s="137"/>
      <c r="K43" s="87"/>
      <c r="L43" s="87"/>
      <c r="M43" s="87"/>
      <c r="N43" s="87"/>
      <c r="O43" s="87"/>
      <c r="P43" s="87"/>
      <c r="Q43" s="87"/>
      <c r="R43" s="87"/>
    </row>
    <row r="44" spans="1:18" outlineLevel="1" x14ac:dyDescent="0.15">
      <c r="A44" s="87"/>
      <c r="B44" s="87"/>
      <c r="C44" s="87"/>
      <c r="D44" s="137"/>
      <c r="E44" s="137"/>
      <c r="F44" s="137"/>
      <c r="G44" s="137"/>
      <c r="H44" s="137"/>
      <c r="I44" s="137"/>
      <c r="J44" s="137"/>
      <c r="K44" s="451"/>
      <c r="L44" s="87"/>
      <c r="M44" s="87"/>
      <c r="N44" s="87"/>
      <c r="O44" s="87"/>
      <c r="P44" s="87"/>
      <c r="Q44" s="87"/>
      <c r="R44" s="87"/>
    </row>
    <row r="45" spans="1:18" outlineLevel="1" x14ac:dyDescent="0.15">
      <c r="A45" s="87"/>
      <c r="B45" s="87"/>
      <c r="C45" s="87"/>
      <c r="D45" s="137" t="s">
        <v>512</v>
      </c>
      <c r="E45" s="137"/>
      <c r="F45" s="137"/>
      <c r="G45" s="137"/>
      <c r="H45" s="137"/>
      <c r="I45" s="137"/>
      <c r="J45" s="137"/>
      <c r="K45" s="87"/>
      <c r="L45" s="87"/>
      <c r="M45" s="87"/>
      <c r="N45" s="87"/>
      <c r="O45" s="87"/>
      <c r="P45" s="87"/>
      <c r="Q45" s="87"/>
      <c r="R45" s="87"/>
    </row>
    <row r="46" spans="1:18" x14ac:dyDescent="0.15">
      <c r="A46" s="449" t="s">
        <v>592</v>
      </c>
      <c r="B46" s="43"/>
      <c r="C46" s="43"/>
      <c r="D46" s="43"/>
      <c r="E46" s="43"/>
      <c r="F46" s="24"/>
      <c r="G46" s="24"/>
      <c r="H46" s="24"/>
      <c r="I46" s="24"/>
      <c r="J46" s="24"/>
      <c r="K46" s="24"/>
      <c r="L46" s="24"/>
      <c r="M46" s="24"/>
      <c r="N46" s="24"/>
      <c r="O46" s="24"/>
      <c r="P46" s="24"/>
      <c r="Q46" s="24"/>
      <c r="R46" s="24"/>
    </row>
    <row r="47" spans="1:18" outlineLevel="1" x14ac:dyDescent="0.15">
      <c r="A47" s="37" t="s">
        <v>631</v>
      </c>
      <c r="B47" s="43"/>
      <c r="C47" s="43"/>
      <c r="D47" s="43"/>
      <c r="E47" s="43"/>
      <c r="F47" s="24"/>
      <c r="G47" s="24"/>
      <c r="H47" s="24"/>
      <c r="I47" s="24"/>
      <c r="J47" s="24"/>
      <c r="K47" s="24"/>
      <c r="L47" s="24"/>
      <c r="M47" s="24"/>
      <c r="N47" s="24"/>
      <c r="O47" s="24"/>
      <c r="P47" s="24"/>
      <c r="Q47" s="24"/>
      <c r="R47" s="24"/>
    </row>
    <row r="48" spans="1:18" outlineLevel="1" x14ac:dyDescent="0.15">
      <c r="A48" s="87" t="s">
        <v>591</v>
      </c>
      <c r="B48" s="299">
        <f>'Antenna Pointing Losses'!K102</f>
        <v>0.52017693756532157</v>
      </c>
      <c r="C48" s="87" t="s">
        <v>554</v>
      </c>
      <c r="D48" s="137" t="s">
        <v>451</v>
      </c>
      <c r="E48" s="137"/>
      <c r="F48" s="137"/>
      <c r="G48" s="137"/>
      <c r="H48" s="137"/>
      <c r="I48" s="137"/>
      <c r="J48" s="137"/>
      <c r="K48" s="87"/>
      <c r="L48" s="87"/>
      <c r="M48" s="87"/>
      <c r="N48" s="87"/>
      <c r="O48" s="87"/>
      <c r="P48" s="87"/>
      <c r="Q48" s="87"/>
      <c r="R48" s="87"/>
    </row>
    <row r="49" spans="1:18" outlineLevel="1" x14ac:dyDescent="0.15">
      <c r="A49" s="87" t="s">
        <v>571</v>
      </c>
      <c r="B49" s="299">
        <f>INDEX('Antenna Gain'!N60:N63,'Antenna Gain'!E58,1)</f>
        <v>18.649999999999999</v>
      </c>
      <c r="C49" s="87" t="s">
        <v>762</v>
      </c>
      <c r="D49" s="137" t="s">
        <v>452</v>
      </c>
      <c r="E49" s="137"/>
      <c r="F49" s="137"/>
      <c r="G49" s="137"/>
      <c r="H49" s="137"/>
      <c r="I49" s="137"/>
      <c r="J49" s="137"/>
      <c r="K49" s="87"/>
      <c r="L49" s="87"/>
      <c r="M49" s="87"/>
      <c r="N49" s="87"/>
      <c r="O49" s="87"/>
      <c r="P49" s="87"/>
      <c r="Q49" s="87"/>
      <c r="R49" s="87"/>
    </row>
    <row r="50" spans="1:18" outlineLevel="1" x14ac:dyDescent="0.15">
      <c r="A50" s="87" t="s">
        <v>15</v>
      </c>
      <c r="B50" s="299">
        <f>Receivers!J124</f>
        <v>0.98520000000000008</v>
      </c>
      <c r="C50" s="87" t="s">
        <v>554</v>
      </c>
      <c r="D50" s="137" t="s">
        <v>16</v>
      </c>
      <c r="E50" s="137"/>
      <c r="F50" s="137"/>
      <c r="G50" s="137"/>
      <c r="H50" s="137"/>
      <c r="I50" s="137"/>
      <c r="J50" s="137"/>
      <c r="K50" s="87"/>
      <c r="L50" s="87"/>
      <c r="M50" s="87"/>
      <c r="N50" s="87"/>
      <c r="O50" s="87"/>
      <c r="P50" s="87"/>
      <c r="Q50" s="87"/>
      <c r="R50" s="87"/>
    </row>
    <row r="51" spans="1:18" outlineLevel="1" x14ac:dyDescent="0.15">
      <c r="A51" s="87" t="s">
        <v>572</v>
      </c>
      <c r="B51" s="440">
        <f>Receivers!J147</f>
        <v>438.67230536465428</v>
      </c>
      <c r="C51" s="87" t="s">
        <v>582</v>
      </c>
      <c r="D51" s="137" t="s">
        <v>14</v>
      </c>
      <c r="E51" s="137"/>
      <c r="F51" s="137"/>
      <c r="G51" s="137"/>
      <c r="H51" s="137"/>
      <c r="I51" s="137"/>
      <c r="J51" s="137"/>
      <c r="K51" s="87"/>
      <c r="L51" s="87"/>
      <c r="M51" s="87"/>
      <c r="N51" s="87"/>
      <c r="O51" s="87"/>
      <c r="P51" s="87"/>
      <c r="Q51" s="87"/>
      <c r="R51" s="87"/>
    </row>
    <row r="52" spans="1:18" outlineLevel="1" x14ac:dyDescent="0.15">
      <c r="A52" s="87" t="s">
        <v>573</v>
      </c>
      <c r="B52" s="299">
        <f>B49-B50-10*LOG10(B51)</f>
        <v>-8.7566021701955599</v>
      </c>
      <c r="C52" s="87" t="s">
        <v>583</v>
      </c>
      <c r="D52" s="137" t="s">
        <v>91</v>
      </c>
      <c r="E52" s="137"/>
      <c r="F52" s="137"/>
      <c r="G52" s="137"/>
      <c r="H52" s="137"/>
      <c r="I52" s="137"/>
      <c r="J52" s="137"/>
      <c r="K52" s="87"/>
      <c r="L52" s="87"/>
      <c r="M52" s="87"/>
      <c r="N52" s="87"/>
      <c r="O52" s="87"/>
      <c r="P52" s="87"/>
      <c r="Q52" s="87"/>
      <c r="R52" s="87"/>
    </row>
    <row r="53" spans="1:18" outlineLevel="1" x14ac:dyDescent="0.15">
      <c r="A53" s="87"/>
      <c r="B53" s="299"/>
      <c r="C53" s="87"/>
      <c r="D53" s="137"/>
      <c r="E53" s="137"/>
      <c r="F53" s="137"/>
      <c r="G53" s="137"/>
      <c r="H53" s="137"/>
      <c r="I53" s="137"/>
      <c r="J53" s="137"/>
      <c r="K53" s="87"/>
      <c r="L53" s="87"/>
      <c r="M53" s="87"/>
      <c r="N53" s="87"/>
      <c r="O53" s="87"/>
      <c r="P53" s="87"/>
      <c r="Q53" s="87"/>
      <c r="R53" s="87"/>
    </row>
    <row r="54" spans="1:18" outlineLevel="1" x14ac:dyDescent="0.15">
      <c r="A54" s="87" t="s">
        <v>593</v>
      </c>
      <c r="B54" s="353">
        <f>B19+B49-B48-B50</f>
        <v>-132.82084587966679</v>
      </c>
      <c r="C54" s="87" t="s">
        <v>579</v>
      </c>
      <c r="D54" s="137" t="s">
        <v>92</v>
      </c>
      <c r="E54" s="137"/>
      <c r="F54" s="137"/>
      <c r="G54" s="137"/>
      <c r="H54" s="137"/>
      <c r="I54" s="137"/>
      <c r="J54" s="137"/>
      <c r="K54" s="87"/>
      <c r="L54" s="87"/>
      <c r="M54" s="87"/>
      <c r="N54" s="87"/>
      <c r="O54" s="87"/>
      <c r="P54" s="87"/>
      <c r="Q54" s="87"/>
      <c r="R54" s="87"/>
    </row>
    <row r="55" spans="1:18" outlineLevel="1" x14ac:dyDescent="0.15">
      <c r="A55" s="87"/>
      <c r="B55" s="447">
        <f>B54+30</f>
        <v>-102.82084587966679</v>
      </c>
      <c r="C55" s="729" t="s">
        <v>580</v>
      </c>
      <c r="D55" s="137"/>
      <c r="E55" s="137"/>
      <c r="F55" s="137"/>
      <c r="G55" s="137"/>
      <c r="H55" s="137"/>
      <c r="I55" s="137"/>
      <c r="J55" s="137"/>
      <c r="K55" s="87"/>
      <c r="L55" s="87"/>
      <c r="M55" s="87"/>
      <c r="N55" s="87"/>
      <c r="O55" s="87"/>
      <c r="P55" s="87"/>
      <c r="Q55" s="87"/>
      <c r="R55" s="87"/>
    </row>
    <row r="56" spans="1:18" outlineLevel="1" x14ac:dyDescent="0.15">
      <c r="A56" s="87" t="s">
        <v>93</v>
      </c>
      <c r="B56" s="395">
        <v>14400</v>
      </c>
      <c r="C56" s="87" t="s">
        <v>594</v>
      </c>
      <c r="D56" s="137" t="s">
        <v>66</v>
      </c>
      <c r="E56" s="137"/>
      <c r="F56" s="137"/>
      <c r="G56" s="137"/>
      <c r="H56" s="401" t="s">
        <v>868</v>
      </c>
      <c r="I56" s="137"/>
      <c r="J56" s="137"/>
      <c r="K56" s="87"/>
      <c r="L56" s="87"/>
      <c r="M56" s="87"/>
      <c r="N56" s="87"/>
      <c r="O56" s="87"/>
      <c r="P56" s="87"/>
      <c r="Q56" s="87"/>
      <c r="R56" s="87"/>
    </row>
    <row r="57" spans="1:18" outlineLevel="1" x14ac:dyDescent="0.15">
      <c r="A57" s="87"/>
      <c r="B57" s="448"/>
      <c r="C57" s="87"/>
      <c r="D57" s="137"/>
      <c r="E57" s="137"/>
      <c r="F57" s="137"/>
      <c r="G57" s="137"/>
      <c r="H57" s="137"/>
      <c r="I57" s="137"/>
      <c r="J57" s="137"/>
      <c r="K57" s="87"/>
      <c r="L57" s="87"/>
      <c r="M57" s="87"/>
      <c r="N57" s="87"/>
      <c r="O57" s="87"/>
      <c r="P57" s="87"/>
      <c r="Q57" s="87"/>
      <c r="R57" s="87"/>
    </row>
    <row r="58" spans="1:18" outlineLevel="1" x14ac:dyDescent="0.15">
      <c r="A58" s="87" t="s">
        <v>595</v>
      </c>
      <c r="B58" s="353">
        <f>F27+10*LOG10(B51)+10*LOG10(B56)</f>
        <v>-160.59497290885193</v>
      </c>
      <c r="C58" s="87" t="s">
        <v>579</v>
      </c>
      <c r="D58" s="137" t="s">
        <v>132</v>
      </c>
      <c r="E58" s="137"/>
      <c r="F58" s="137"/>
      <c r="G58" s="137"/>
      <c r="H58" s="137"/>
      <c r="I58" s="137"/>
      <c r="J58" s="137"/>
      <c r="K58" s="87"/>
      <c r="L58" s="87"/>
      <c r="M58" s="87"/>
      <c r="N58" s="87"/>
      <c r="O58" s="87"/>
      <c r="P58" s="87"/>
      <c r="Q58" s="87"/>
      <c r="R58" s="87"/>
    </row>
    <row r="59" spans="1:18" outlineLevel="1" x14ac:dyDescent="0.15">
      <c r="A59" s="87"/>
      <c r="B59" s="447">
        <f>B58+30</f>
        <v>-130.59497290885193</v>
      </c>
      <c r="C59" s="729" t="s">
        <v>580</v>
      </c>
      <c r="D59" s="137"/>
      <c r="E59" s="137"/>
      <c r="F59" s="137"/>
      <c r="G59" s="137"/>
      <c r="H59" s="137"/>
      <c r="I59" s="137"/>
      <c r="J59" s="137"/>
      <c r="K59" s="87"/>
      <c r="L59" s="87"/>
      <c r="M59" s="87"/>
      <c r="N59" s="87"/>
      <c r="O59" s="87"/>
      <c r="P59" s="87"/>
      <c r="Q59" s="87"/>
      <c r="R59" s="87"/>
    </row>
    <row r="60" spans="1:18" outlineLevel="1" x14ac:dyDescent="0.15">
      <c r="A60" s="87" t="s">
        <v>596</v>
      </c>
      <c r="B60" s="429">
        <f>B54-B58</f>
        <v>27.774127029185138</v>
      </c>
      <c r="C60" s="87" t="s">
        <v>554</v>
      </c>
      <c r="D60" s="137" t="s">
        <v>94</v>
      </c>
      <c r="E60" s="137"/>
      <c r="F60" s="137"/>
      <c r="G60" s="137"/>
      <c r="H60" s="137"/>
      <c r="I60" s="137"/>
      <c r="J60" s="137"/>
      <c r="K60" s="87"/>
      <c r="L60" s="87"/>
      <c r="M60" s="87"/>
      <c r="N60" s="87"/>
      <c r="O60" s="87"/>
      <c r="P60" s="87"/>
      <c r="Q60" s="87"/>
      <c r="R60" s="87"/>
    </row>
    <row r="61" spans="1:18" outlineLevel="1" x14ac:dyDescent="0.15">
      <c r="A61" s="87"/>
      <c r="B61" s="299">
        <f>B55-(-120)</f>
        <v>17.179154120333209</v>
      </c>
      <c r="C61" s="87"/>
      <c r="D61" s="137"/>
      <c r="E61" s="137"/>
      <c r="F61" s="137"/>
      <c r="G61" s="137"/>
      <c r="H61" s="137"/>
      <c r="I61" s="137"/>
      <c r="J61" s="137"/>
      <c r="K61" s="87"/>
      <c r="L61" s="87"/>
      <c r="M61" s="87"/>
      <c r="N61" s="87"/>
      <c r="O61" s="87"/>
      <c r="P61" s="87"/>
      <c r="Q61" s="87"/>
      <c r="R61" s="87"/>
    </row>
    <row r="62" spans="1:18" outlineLevel="1" x14ac:dyDescent="0.15">
      <c r="A62" s="87" t="s">
        <v>67</v>
      </c>
      <c r="B62" s="347">
        <v>14</v>
      </c>
      <c r="C62" s="87" t="s">
        <v>554</v>
      </c>
      <c r="D62" s="137" t="s">
        <v>95</v>
      </c>
      <c r="E62" s="137"/>
      <c r="F62" s="137"/>
      <c r="G62" s="137"/>
      <c r="H62" s="137"/>
      <c r="I62" s="137"/>
      <c r="J62" s="137"/>
      <c r="K62" s="87"/>
      <c r="L62" s="87"/>
      <c r="M62" s="87"/>
      <c r="N62" s="87"/>
      <c r="O62" s="87"/>
      <c r="P62" s="87"/>
      <c r="Q62" s="87"/>
      <c r="R62" s="87"/>
    </row>
    <row r="63" spans="1:18" ht="14" outlineLevel="1" thickBot="1" x14ac:dyDescent="0.2">
      <c r="A63" s="87"/>
      <c r="B63" s="912">
        <f>B61-B62</f>
        <v>3.1791541203332088</v>
      </c>
      <c r="C63" s="87"/>
      <c r="D63" s="137"/>
      <c r="E63" s="137"/>
      <c r="F63" s="137"/>
      <c r="G63" s="137"/>
      <c r="H63" s="137"/>
      <c r="I63" s="137"/>
      <c r="J63" s="137"/>
      <c r="K63" s="87"/>
      <c r="L63" s="87"/>
      <c r="M63" s="87"/>
      <c r="N63" s="87"/>
      <c r="O63" s="87"/>
      <c r="P63" s="87"/>
      <c r="Q63" s="87"/>
      <c r="R63" s="87"/>
    </row>
    <row r="64" spans="1:18" ht="14" outlineLevel="1" thickBot="1" x14ac:dyDescent="0.2">
      <c r="A64" s="87" t="s">
        <v>89</v>
      </c>
      <c r="B64" s="41">
        <f>B60-B62</f>
        <v>13.774127029185138</v>
      </c>
      <c r="C64" s="87" t="s">
        <v>554</v>
      </c>
      <c r="D64" s="137"/>
      <c r="E64" s="137"/>
      <c r="F64" s="137"/>
      <c r="G64" s="137"/>
      <c r="H64" s="137"/>
      <c r="I64" s="137"/>
      <c r="J64" s="137"/>
      <c r="K64" s="87"/>
      <c r="L64" s="87"/>
      <c r="M64" s="87"/>
      <c r="N64" s="87"/>
      <c r="O64" s="87"/>
      <c r="P64" s="87"/>
      <c r="Q64" s="87"/>
      <c r="R64" s="87"/>
    </row>
    <row r="65" spans="1:18" ht="14" outlineLevel="1" thickBot="1" x14ac:dyDescent="0.2">
      <c r="A65" s="87"/>
      <c r="B65" s="87"/>
      <c r="C65" s="87"/>
      <c r="D65" s="137"/>
      <c r="E65" s="137"/>
      <c r="F65" s="137"/>
      <c r="G65" s="137"/>
      <c r="H65" s="137"/>
      <c r="I65" s="137"/>
      <c r="J65" s="137"/>
      <c r="K65" s="87"/>
      <c r="L65" s="87"/>
      <c r="M65" s="87"/>
      <c r="N65" s="87"/>
      <c r="O65" s="87"/>
      <c r="P65" s="87"/>
      <c r="Q65" s="87"/>
      <c r="R65" s="87"/>
    </row>
    <row r="66" spans="1:18" ht="14" outlineLevel="1" thickBot="1" x14ac:dyDescent="0.2">
      <c r="A66" s="729" t="s">
        <v>1073</v>
      </c>
      <c r="B66" s="914">
        <f>10*LOG10(B30)+10*LOG10(B28/B56)</f>
        <v>12.942462987222981</v>
      </c>
      <c r="C66" s="729" t="s">
        <v>554</v>
      </c>
      <c r="D66" s="456" t="s">
        <v>1074</v>
      </c>
      <c r="E66" s="137"/>
      <c r="F66" s="137"/>
      <c r="G66" s="137"/>
      <c r="H66" s="137"/>
      <c r="I66" s="137"/>
      <c r="J66" s="137"/>
      <c r="K66" s="87"/>
      <c r="L66" s="87"/>
      <c r="M66" s="87"/>
      <c r="N66" s="87"/>
      <c r="O66" s="87"/>
      <c r="P66" s="87"/>
      <c r="Q66" s="87"/>
      <c r="R66" s="87"/>
    </row>
    <row r="67" spans="1:18" x14ac:dyDescent="0.15">
      <c r="D67" t="s">
        <v>512</v>
      </c>
    </row>
    <row r="69" spans="1:18" x14ac:dyDescent="0.15">
      <c r="B69" s="39"/>
    </row>
    <row r="70" spans="1:18" x14ac:dyDescent="0.15">
      <c r="B70" s="39"/>
    </row>
    <row r="71" spans="1:18" x14ac:dyDescent="0.15">
      <c r="B71" s="39"/>
    </row>
    <row r="72" spans="1:18" x14ac:dyDescent="0.15">
      <c r="B72" s="39"/>
    </row>
    <row r="92" spans="2:2" x14ac:dyDescent="0.15">
      <c r="B92" t="s">
        <v>512</v>
      </c>
    </row>
  </sheetData>
  <phoneticPr fontId="0" type="noConversion"/>
  <pageMargins left="0.75" right="0.75" top="1" bottom="1" header="0.5" footer="0.5"/>
  <pageSetup orientation="portrait"/>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indexed="12"/>
    <pageSetUpPr fitToPage="1"/>
  </sheetPr>
  <dimension ref="A1:R115"/>
  <sheetViews>
    <sheetView zoomScaleNormal="100" workbookViewId="0">
      <selection activeCell="L1" sqref="L1"/>
    </sheetView>
  </sheetViews>
  <sheetFormatPr baseColWidth="10" defaultColWidth="10.6640625" defaultRowHeight="13" x14ac:dyDescent="0.15"/>
  <cols>
    <col min="1" max="1" width="12.6640625" customWidth="1"/>
    <col min="2" max="2" width="8.83203125" customWidth="1"/>
    <col min="3" max="3" width="9.33203125" customWidth="1"/>
    <col min="4" max="4" width="10.33203125" customWidth="1"/>
    <col min="5" max="5" width="10.1640625" customWidth="1"/>
    <col min="6" max="6" width="12.5" customWidth="1"/>
    <col min="7" max="7" width="10.33203125" customWidth="1"/>
    <col min="8" max="8" width="3.6640625" customWidth="1"/>
    <col min="9" max="9" width="3.83203125" customWidth="1"/>
    <col min="10" max="10" width="9.5" customWidth="1"/>
    <col min="11" max="11" width="10.5" customWidth="1"/>
    <col min="12" max="12" width="9.6640625" bestFit="1" customWidth="1"/>
    <col min="13" max="13" width="10.33203125" customWidth="1"/>
    <col min="14" max="14" width="12.1640625" customWidth="1"/>
    <col min="15" max="15" width="10.33203125" customWidth="1"/>
    <col min="16" max="17" width="8.83203125" customWidth="1"/>
    <col min="18" max="18" width="14" customWidth="1"/>
    <col min="19" max="256" width="8.83203125" customWidth="1"/>
  </cols>
  <sheetData>
    <row r="1" spans="1:18" ht="19" thickBot="1" x14ac:dyDescent="0.25">
      <c r="A1" s="119" t="s">
        <v>136</v>
      </c>
      <c r="B1" s="121"/>
      <c r="C1" s="121"/>
      <c r="D1" s="121"/>
      <c r="E1" s="121"/>
      <c r="F1" s="121"/>
      <c r="G1" s="677" t="str">
        <f>'Title Page'!F3</f>
        <v>3UCubed</v>
      </c>
      <c r="H1" s="121"/>
      <c r="I1" s="38"/>
      <c r="J1" s="38"/>
      <c r="K1" s="38"/>
      <c r="L1" s="909">
        <f ca="1">'Title Page'!F23</f>
        <v>45769</v>
      </c>
      <c r="M1" s="38"/>
      <c r="N1" s="38"/>
      <c r="O1" s="38"/>
      <c r="P1" s="38"/>
      <c r="Q1" s="38"/>
      <c r="R1" s="38"/>
    </row>
    <row r="2" spans="1:18" x14ac:dyDescent="0.15">
      <c r="A2" s="460"/>
      <c r="B2" s="631" t="s">
        <v>389</v>
      </c>
      <c r="C2" s="461"/>
      <c r="D2" s="461"/>
      <c r="E2" s="461"/>
      <c r="F2" s="461"/>
      <c r="G2" s="461" t="s">
        <v>512</v>
      </c>
      <c r="H2" s="462"/>
      <c r="I2" s="496"/>
      <c r="J2" s="631" t="s">
        <v>390</v>
      </c>
      <c r="K2" s="461"/>
      <c r="L2" s="461"/>
      <c r="M2" s="461"/>
      <c r="N2" s="461"/>
      <c r="O2" s="461"/>
      <c r="P2" s="461"/>
      <c r="Q2" s="461"/>
      <c r="R2" s="462"/>
    </row>
    <row r="3" spans="1:18" ht="15" customHeight="1" x14ac:dyDescent="0.2">
      <c r="A3" s="95"/>
      <c r="B3" s="270" t="s">
        <v>173</v>
      </c>
      <c r="C3" s="492"/>
      <c r="D3" s="3"/>
      <c r="E3" s="470" t="s">
        <v>550</v>
      </c>
      <c r="F3" s="487">
        <f>Frequency!M10</f>
        <v>436.5</v>
      </c>
      <c r="G3" s="3"/>
      <c r="H3" s="98"/>
      <c r="I3" s="95"/>
      <c r="J3" s="245" t="s">
        <v>175</v>
      </c>
      <c r="K3" s="246"/>
      <c r="L3" s="3"/>
      <c r="M3" s="470" t="s">
        <v>550</v>
      </c>
      <c r="N3" s="507">
        <f>Frequency!M16</f>
        <v>436.5</v>
      </c>
      <c r="O3" s="3"/>
      <c r="P3" s="3"/>
      <c r="Q3" s="3"/>
      <c r="R3" s="98"/>
    </row>
    <row r="4" spans="1:18" ht="14" thickBot="1" x14ac:dyDescent="0.2">
      <c r="A4" s="95"/>
      <c r="B4" s="3"/>
      <c r="C4" s="3"/>
      <c r="D4" s="3"/>
      <c r="E4" s="3"/>
      <c r="F4" s="3"/>
      <c r="G4" s="3"/>
      <c r="H4" s="98"/>
      <c r="I4" s="95"/>
      <c r="J4" s="3"/>
      <c r="K4" s="3"/>
      <c r="L4" s="3"/>
      <c r="M4" s="3"/>
      <c r="N4" s="3"/>
      <c r="O4" s="3"/>
      <c r="P4" s="3"/>
      <c r="Q4" s="3"/>
      <c r="R4" s="98"/>
    </row>
    <row r="5" spans="1:18" ht="14" thickBot="1" x14ac:dyDescent="0.2">
      <c r="A5" s="95" t="s">
        <v>171</v>
      </c>
      <c r="B5" s="432" t="s">
        <v>157</v>
      </c>
      <c r="C5" s="480">
        <f>'Uplink Budget'!B30</f>
        <v>45.32345485774848</v>
      </c>
      <c r="D5" s="3"/>
      <c r="E5" s="469" t="s">
        <v>156</v>
      </c>
      <c r="F5" s="591">
        <f>'Uplink Budget'!B43</f>
        <v>26.32345485774848</v>
      </c>
      <c r="G5" s="592" t="str">
        <f>IF(F5&lt;0,"NO LINK !",IF(F5&lt;6,"MARGINAL LINK",IF(F5&gt;6,"LINK CLOSES")))</f>
        <v>LINK CLOSES</v>
      </c>
      <c r="H5" s="98"/>
      <c r="I5" s="95"/>
      <c r="J5" s="3"/>
      <c r="K5" s="432" t="s">
        <v>174</v>
      </c>
      <c r="L5" s="495">
        <f>'Downlink Budget'!B28</f>
        <v>9600</v>
      </c>
      <c r="M5" s="3"/>
      <c r="N5" s="3"/>
      <c r="O5" s="3"/>
      <c r="P5" s="3"/>
      <c r="Q5" s="3"/>
      <c r="R5" s="98"/>
    </row>
    <row r="6" spans="1:18" ht="14" thickBot="1" x14ac:dyDescent="0.2">
      <c r="A6" s="95"/>
      <c r="B6" s="3"/>
      <c r="C6" s="3"/>
      <c r="D6" s="3"/>
      <c r="E6" s="3"/>
      <c r="F6" s="3"/>
      <c r="G6" s="32" t="s">
        <v>512</v>
      </c>
      <c r="H6" s="98"/>
      <c r="I6" s="95"/>
      <c r="J6" s="3"/>
      <c r="K6" s="3"/>
      <c r="L6" s="3"/>
      <c r="M6" s="3"/>
      <c r="N6" s="467" t="s">
        <v>183</v>
      </c>
      <c r="O6" s="464"/>
      <c r="P6" s="3"/>
      <c r="Q6" s="3"/>
      <c r="R6" s="98"/>
    </row>
    <row r="7" spans="1:18" ht="14" thickBot="1" x14ac:dyDescent="0.2">
      <c r="A7" s="95" t="s">
        <v>170</v>
      </c>
      <c r="B7" s="432" t="s">
        <v>158</v>
      </c>
      <c r="C7" s="480">
        <f>'Uplink Budget'!B61</f>
        <v>43.562542267191674</v>
      </c>
      <c r="D7" s="3"/>
      <c r="E7" s="469" t="s">
        <v>156</v>
      </c>
      <c r="F7" s="591">
        <f>'Uplink Budget'!B65</f>
        <v>29.562542267191674</v>
      </c>
      <c r="G7" s="592" t="str">
        <f>IF(F7&lt;0,"NO LINK !",IF(F7&lt;6,"MARGINAL LINK",IF(F7&gt;6,"LINK CLOSES")))</f>
        <v>LINK CLOSES</v>
      </c>
      <c r="H7" s="98"/>
      <c r="I7" s="95"/>
      <c r="J7" s="3"/>
      <c r="K7" s="497"/>
      <c r="L7" s="3"/>
      <c r="M7" s="3"/>
      <c r="N7" s="465" t="str">
        <f>'Downlink Budget'!B32</f>
        <v>G3RUH FSK</v>
      </c>
      <c r="O7" s="466"/>
      <c r="P7" s="3"/>
      <c r="Q7" s="3"/>
      <c r="R7" s="98"/>
    </row>
    <row r="8" spans="1:18" x14ac:dyDescent="0.15">
      <c r="A8" s="95"/>
      <c r="B8" s="3"/>
      <c r="C8" s="493"/>
      <c r="D8" s="3"/>
      <c r="E8" s="3"/>
      <c r="F8" s="494"/>
      <c r="G8" s="3"/>
      <c r="H8" s="98"/>
      <c r="I8" s="95"/>
      <c r="J8" s="3"/>
      <c r="K8" s="497"/>
      <c r="L8" s="3"/>
      <c r="M8" s="3"/>
      <c r="N8" s="3"/>
      <c r="O8" s="3"/>
      <c r="P8" s="3"/>
      <c r="Q8" s="3"/>
      <c r="R8" s="98"/>
    </row>
    <row r="9" spans="1:18" x14ac:dyDescent="0.15">
      <c r="A9" s="754" t="s">
        <v>868</v>
      </c>
      <c r="B9" s="3"/>
      <c r="C9" s="493"/>
      <c r="D9" s="3"/>
      <c r="E9" s="3"/>
      <c r="F9" s="494"/>
      <c r="G9" s="3"/>
      <c r="H9" s="98"/>
      <c r="I9" s="95"/>
      <c r="J9" s="3"/>
      <c r="K9" s="497"/>
      <c r="L9" s="3"/>
      <c r="M9" s="3"/>
      <c r="N9" s="463" t="s">
        <v>209</v>
      </c>
      <c r="O9" s="464"/>
      <c r="P9" s="3"/>
      <c r="Q9" s="3"/>
      <c r="R9" s="98"/>
    </row>
    <row r="10" spans="1:18" x14ac:dyDescent="0.15">
      <c r="A10" s="95"/>
      <c r="B10" s="3"/>
      <c r="C10" s="432" t="s">
        <v>174</v>
      </c>
      <c r="D10" s="495">
        <f>'Uplink Budget'!B28</f>
        <v>9600</v>
      </c>
      <c r="E10" s="3"/>
      <c r="F10" s="3"/>
      <c r="G10" s="3"/>
      <c r="H10" s="98"/>
      <c r="I10" s="95"/>
      <c r="J10" s="3"/>
      <c r="K10" s="3"/>
      <c r="L10" s="3"/>
      <c r="M10" s="3"/>
      <c r="N10" s="465" t="str">
        <f>'Downlink Budget'!B33</f>
        <v>None</v>
      </c>
      <c r="O10" s="466"/>
      <c r="P10" s="3"/>
      <c r="Q10" s="3"/>
      <c r="R10" s="98"/>
    </row>
    <row r="11" spans="1:18" x14ac:dyDescent="0.15">
      <c r="A11" s="95"/>
      <c r="B11" s="3"/>
      <c r="C11" s="3"/>
      <c r="D11" s="3"/>
      <c r="E11" s="3"/>
      <c r="F11" s="3"/>
      <c r="G11" s="3"/>
      <c r="H11" s="98"/>
      <c r="I11" s="95"/>
      <c r="J11" s="3"/>
      <c r="K11" s="3"/>
      <c r="L11" s="3"/>
      <c r="M11" s="3"/>
      <c r="N11" s="3"/>
      <c r="O11" s="3"/>
      <c r="P11" s="3"/>
      <c r="Q11" s="3"/>
      <c r="R11" s="98"/>
    </row>
    <row r="12" spans="1:18" ht="16" x14ac:dyDescent="0.2">
      <c r="A12" s="95"/>
      <c r="B12" s="3"/>
      <c r="C12" s="3"/>
      <c r="D12" s="3"/>
      <c r="E12" s="3"/>
      <c r="F12" s="3"/>
      <c r="G12" s="3"/>
      <c r="H12" s="98"/>
      <c r="I12" s="95"/>
      <c r="J12" s="3"/>
      <c r="K12" s="3"/>
      <c r="L12" s="3"/>
      <c r="M12" s="3"/>
      <c r="N12" s="499" t="s">
        <v>180</v>
      </c>
      <c r="O12" s="503">
        <v>0.4</v>
      </c>
      <c r="P12" s="3"/>
      <c r="Q12" s="3"/>
      <c r="R12" s="98"/>
    </row>
    <row r="13" spans="1:18" x14ac:dyDescent="0.15">
      <c r="A13" s="95"/>
      <c r="B13" s="3"/>
      <c r="C13" s="3"/>
      <c r="D13" s="3" t="s">
        <v>512</v>
      </c>
      <c r="E13" s="3"/>
      <c r="F13" s="463" t="s">
        <v>208</v>
      </c>
      <c r="G13" s="464"/>
      <c r="H13" s="98"/>
      <c r="I13" s="95"/>
      <c r="J13" s="3"/>
      <c r="K13" s="3"/>
      <c r="L13" s="3"/>
      <c r="M13" s="3"/>
      <c r="N13" s="3"/>
      <c r="O13" s="3"/>
      <c r="P13" s="3"/>
      <c r="Q13" s="3"/>
      <c r="R13" s="98"/>
    </row>
    <row r="14" spans="1:18" x14ac:dyDescent="0.15">
      <c r="A14" s="95"/>
      <c r="B14" s="3"/>
      <c r="C14" s="3"/>
      <c r="D14" s="3"/>
      <c r="E14" s="3"/>
      <c r="F14" s="465" t="str">
        <f>'Uplink Budget'!B33</f>
        <v>None</v>
      </c>
      <c r="G14" s="466"/>
      <c r="H14" s="98"/>
      <c r="I14" s="95"/>
      <c r="J14" s="3"/>
      <c r="K14" s="3"/>
      <c r="L14" s="3"/>
      <c r="M14" s="3"/>
      <c r="N14" s="193" t="s">
        <v>181</v>
      </c>
      <c r="O14" s="502">
        <f>O18/O12</f>
        <v>2.5</v>
      </c>
      <c r="P14" s="3"/>
      <c r="Q14" s="3"/>
      <c r="R14" s="98"/>
    </row>
    <row r="15" spans="1:18" x14ac:dyDescent="0.15">
      <c r="A15" s="95"/>
      <c r="B15" s="3"/>
      <c r="C15" s="3"/>
      <c r="D15" s="3"/>
      <c r="E15" s="3"/>
      <c r="F15" s="3"/>
      <c r="G15" s="3"/>
      <c r="H15" s="98"/>
      <c r="I15" s="95"/>
      <c r="J15" s="3"/>
      <c r="K15" s="3"/>
      <c r="L15" s="3"/>
      <c r="M15" s="3"/>
      <c r="N15" s="3"/>
      <c r="O15" s="3"/>
      <c r="P15" s="3"/>
      <c r="Q15" s="3"/>
      <c r="R15" s="98"/>
    </row>
    <row r="16" spans="1:18" x14ac:dyDescent="0.15">
      <c r="A16" s="95"/>
      <c r="B16" s="3"/>
      <c r="C16" s="3"/>
      <c r="D16" s="3"/>
      <c r="E16" s="3"/>
      <c r="F16" s="3"/>
      <c r="G16" s="3"/>
      <c r="H16" s="98"/>
      <c r="I16" s="95"/>
      <c r="J16" s="3"/>
      <c r="K16" s="3"/>
      <c r="L16" s="3"/>
      <c r="M16" s="3"/>
      <c r="N16" s="501" t="s">
        <v>182</v>
      </c>
      <c r="O16" s="502">
        <f>O14-O18</f>
        <v>1.5</v>
      </c>
      <c r="P16" s="3"/>
      <c r="Q16" s="3"/>
      <c r="R16" s="98"/>
    </row>
    <row r="17" spans="1:18" x14ac:dyDescent="0.15">
      <c r="A17" s="95"/>
      <c r="B17" s="3"/>
      <c r="C17" s="3"/>
      <c r="D17" s="3"/>
      <c r="E17" s="3"/>
      <c r="F17" s="3"/>
      <c r="G17" s="3"/>
      <c r="H17" s="98"/>
      <c r="I17" s="95"/>
      <c r="J17" s="18" t="s">
        <v>512</v>
      </c>
      <c r="K17" s="3"/>
      <c r="L17" s="3" t="s">
        <v>219</v>
      </c>
      <c r="M17" s="3"/>
      <c r="N17" s="3"/>
      <c r="O17" s="231"/>
      <c r="P17" s="3"/>
      <c r="Q17" s="3"/>
      <c r="R17" s="98"/>
    </row>
    <row r="18" spans="1:18" x14ac:dyDescent="0.15">
      <c r="A18" s="95"/>
      <c r="B18" s="3"/>
      <c r="C18" s="3"/>
      <c r="D18" s="3"/>
      <c r="E18" s="3"/>
      <c r="F18" s="490" t="s">
        <v>172</v>
      </c>
      <c r="G18" s="491">
        <f>'Uplink Budget'!B35</f>
        <v>1.0000000000000001E-5</v>
      </c>
      <c r="H18" s="98"/>
      <c r="I18" s="95"/>
      <c r="J18" s="3"/>
      <c r="K18" s="3"/>
      <c r="L18" s="3"/>
      <c r="M18" s="3"/>
      <c r="N18" s="432" t="s">
        <v>179</v>
      </c>
      <c r="O18" s="500">
        <f>Transmitters!E52</f>
        <v>1</v>
      </c>
      <c r="P18" s="3"/>
      <c r="Q18" s="3"/>
      <c r="R18" s="98"/>
    </row>
    <row r="19" spans="1:18" x14ac:dyDescent="0.15">
      <c r="A19" s="95"/>
      <c r="B19" s="3"/>
      <c r="C19" s="3"/>
      <c r="D19" s="3"/>
      <c r="E19" s="3"/>
      <c r="F19" s="463" t="s">
        <v>155</v>
      </c>
      <c r="G19" s="464"/>
      <c r="H19" s="98"/>
      <c r="I19" s="95"/>
      <c r="J19" s="3"/>
      <c r="K19" s="3"/>
      <c r="L19" s="3"/>
      <c r="M19" s="3"/>
      <c r="N19" s="3"/>
      <c r="O19" s="3"/>
      <c r="P19" s="3"/>
      <c r="Q19" s="3"/>
      <c r="R19" s="98"/>
    </row>
    <row r="20" spans="1:18" x14ac:dyDescent="0.15">
      <c r="A20" s="95"/>
      <c r="B20" s="3"/>
      <c r="C20" s="3"/>
      <c r="D20" s="3"/>
      <c r="E20" s="3"/>
      <c r="F20" s="465" t="str">
        <f>'Uplink Budget'!B32</f>
        <v>G3RUH FSK</v>
      </c>
      <c r="G20" s="466"/>
      <c r="H20" s="98"/>
      <c r="I20" s="95"/>
      <c r="J20" s="3"/>
      <c r="K20" s="3"/>
      <c r="L20" s="3"/>
      <c r="M20" s="3"/>
      <c r="N20" s="432" t="s">
        <v>148</v>
      </c>
      <c r="O20" s="480">
        <f>Transmitters!E61*Transmitters!I55</f>
        <v>6.6000000000000003E-2</v>
      </c>
      <c r="P20" s="3"/>
      <c r="Q20" s="3"/>
      <c r="R20" s="98"/>
    </row>
    <row r="21" spans="1:18" x14ac:dyDescent="0.15">
      <c r="A21" s="95"/>
      <c r="B21" s="3"/>
      <c r="C21" s="3"/>
      <c r="D21" s="3"/>
      <c r="E21" s="3"/>
      <c r="F21" s="488" t="s">
        <v>53</v>
      </c>
      <c r="G21" s="489">
        <f>'Uplink Budget'!B41</f>
        <v>19</v>
      </c>
      <c r="H21" s="98"/>
      <c r="I21" s="95"/>
      <c r="J21" s="3"/>
      <c r="K21" s="3"/>
      <c r="L21" s="3"/>
      <c r="M21" s="3"/>
      <c r="N21" s="3"/>
      <c r="O21" s="3"/>
      <c r="P21" s="3"/>
      <c r="Q21" s="3"/>
      <c r="R21" s="98"/>
    </row>
    <row r="22" spans="1:18" x14ac:dyDescent="0.15">
      <c r="A22" s="95"/>
      <c r="B22" s="3"/>
      <c r="C22" s="3"/>
      <c r="D22" s="3"/>
      <c r="E22" s="3"/>
      <c r="F22" s="3"/>
      <c r="G22" s="3"/>
      <c r="H22" s="98"/>
      <c r="I22" s="95"/>
      <c r="J22" s="3"/>
      <c r="K22" s="3"/>
      <c r="L22" s="3"/>
      <c r="M22" s="3"/>
      <c r="N22" s="432" t="s">
        <v>184</v>
      </c>
      <c r="O22" s="480">
        <f>Transmitters!I66</f>
        <v>0.5</v>
      </c>
      <c r="P22" s="3"/>
      <c r="Q22" s="3"/>
      <c r="R22" s="98"/>
    </row>
    <row r="23" spans="1:18" x14ac:dyDescent="0.15">
      <c r="A23" s="95"/>
      <c r="B23" s="3"/>
      <c r="C23" s="3"/>
      <c r="D23" s="3"/>
      <c r="E23" s="3"/>
      <c r="F23" s="3"/>
      <c r="G23" s="3"/>
      <c r="H23" s="98"/>
      <c r="I23" s="95"/>
      <c r="J23" s="18" t="s">
        <v>512</v>
      </c>
      <c r="K23" s="3"/>
      <c r="L23" s="3" t="s">
        <v>220</v>
      </c>
      <c r="M23" s="3"/>
      <c r="N23" s="3"/>
      <c r="O23" s="3"/>
      <c r="P23" s="3"/>
      <c r="Q23" s="3"/>
      <c r="R23" s="98"/>
    </row>
    <row r="24" spans="1:18" x14ac:dyDescent="0.15">
      <c r="A24" s="95"/>
      <c r="B24" s="3"/>
      <c r="C24" s="3"/>
      <c r="D24" s="3"/>
      <c r="E24" s="3"/>
      <c r="F24" s="3"/>
      <c r="G24" s="3"/>
      <c r="H24" s="98"/>
      <c r="I24" s="95"/>
      <c r="J24" s="3"/>
      <c r="K24" s="3"/>
      <c r="L24" s="3"/>
      <c r="M24" s="3"/>
      <c r="N24" s="432" t="s">
        <v>185</v>
      </c>
      <c r="O24" s="480">
        <f>Transmitters!I56*Transmitters!E61</f>
        <v>0</v>
      </c>
      <c r="P24" s="3"/>
      <c r="Q24" s="3"/>
      <c r="R24" s="98"/>
    </row>
    <row r="25" spans="1:18" x14ac:dyDescent="0.15">
      <c r="A25" s="95"/>
      <c r="B25" s="3"/>
      <c r="C25" s="3"/>
      <c r="D25" s="3"/>
      <c r="E25" s="3"/>
      <c r="F25" s="432" t="s">
        <v>168</v>
      </c>
      <c r="G25" s="485">
        <f>'Uplink Budget'!B57</f>
        <v>14400</v>
      </c>
      <c r="H25" s="98"/>
      <c r="I25" s="95"/>
      <c r="J25" s="3"/>
      <c r="K25" s="3"/>
      <c r="L25" s="3"/>
      <c r="M25" s="3"/>
      <c r="N25" s="3"/>
      <c r="O25" s="3"/>
      <c r="P25" s="3"/>
      <c r="Q25" s="3"/>
      <c r="R25" s="98"/>
    </row>
    <row r="26" spans="1:18" x14ac:dyDescent="0.15">
      <c r="A26" s="95"/>
      <c r="B26" s="3"/>
      <c r="C26" s="3"/>
      <c r="D26" s="3"/>
      <c r="E26" s="3"/>
      <c r="F26" s="3" t="s">
        <v>169</v>
      </c>
      <c r="G26" s="3"/>
      <c r="H26" s="98"/>
      <c r="I26" s="95"/>
      <c r="J26" s="3"/>
      <c r="K26" s="3"/>
      <c r="L26" s="3"/>
      <c r="M26" s="3"/>
      <c r="N26" s="432" t="s">
        <v>190</v>
      </c>
      <c r="O26" s="480">
        <f>Transmitters!I67</f>
        <v>0.23</v>
      </c>
      <c r="P26" s="3"/>
      <c r="Q26" s="3"/>
      <c r="R26" s="98"/>
    </row>
    <row r="27" spans="1:18" x14ac:dyDescent="0.15">
      <c r="A27" s="95"/>
      <c r="B27" s="3"/>
      <c r="C27" s="3"/>
      <c r="D27" s="3"/>
      <c r="E27" s="3"/>
      <c r="F27" s="3"/>
      <c r="G27" s="3"/>
      <c r="H27" s="98"/>
      <c r="I27" s="95"/>
      <c r="J27" s="3"/>
      <c r="K27" s="3"/>
      <c r="L27" s="3"/>
      <c r="M27" s="3"/>
      <c r="N27" s="508">
        <f>Transmitters!F67</f>
        <v>0</v>
      </c>
      <c r="O27" s="477"/>
      <c r="P27" s="3"/>
      <c r="Q27" s="3"/>
      <c r="R27" s="98"/>
    </row>
    <row r="28" spans="1:18" x14ac:dyDescent="0.15">
      <c r="A28" s="95"/>
      <c r="B28" s="3"/>
      <c r="C28" s="3"/>
      <c r="D28" s="3"/>
      <c r="E28" s="3"/>
      <c r="F28" s="3"/>
      <c r="G28" s="3"/>
      <c r="H28" s="98"/>
      <c r="I28" s="95"/>
      <c r="J28" s="3"/>
      <c r="K28" s="3"/>
      <c r="L28" s="3"/>
      <c r="M28" s="3"/>
      <c r="N28" s="3" t="s">
        <v>512</v>
      </c>
      <c r="O28" s="3"/>
      <c r="P28" s="3"/>
      <c r="Q28" s="3"/>
      <c r="R28" s="98"/>
    </row>
    <row r="29" spans="1:18" x14ac:dyDescent="0.15">
      <c r="A29" s="95"/>
      <c r="B29" s="3"/>
      <c r="C29" s="3"/>
      <c r="D29" s="3"/>
      <c r="E29" s="3"/>
      <c r="F29" s="3"/>
      <c r="G29" s="3"/>
      <c r="H29" s="98"/>
      <c r="I29" s="95"/>
      <c r="J29" s="3"/>
      <c r="K29" s="3"/>
      <c r="L29" s="3"/>
      <c r="M29" s="3"/>
      <c r="N29" s="432" t="s">
        <v>186</v>
      </c>
      <c r="O29" s="480">
        <f>Transmitters!E61*Transmitters!I57</f>
        <v>0</v>
      </c>
      <c r="P29" s="3"/>
      <c r="Q29" s="3"/>
      <c r="R29" s="98"/>
    </row>
    <row r="30" spans="1:18" x14ac:dyDescent="0.15">
      <c r="A30" s="95"/>
      <c r="B30" s="3"/>
      <c r="C30" s="3"/>
      <c r="D30" s="3"/>
      <c r="E30" s="3"/>
      <c r="F30" s="3"/>
      <c r="G30" s="3"/>
      <c r="H30" s="98"/>
      <c r="I30" s="95"/>
      <c r="J30" s="18" t="s">
        <v>512</v>
      </c>
      <c r="K30" s="3"/>
      <c r="L30" s="3" t="s">
        <v>218</v>
      </c>
      <c r="M30" s="3"/>
      <c r="N30" s="3"/>
      <c r="O30" s="3"/>
      <c r="P30" s="3"/>
      <c r="Q30" s="3"/>
      <c r="R30" s="98"/>
    </row>
    <row r="31" spans="1:18" x14ac:dyDescent="0.15">
      <c r="A31" s="95"/>
      <c r="B31" s="3"/>
      <c r="C31" s="3"/>
      <c r="D31" s="3"/>
      <c r="E31" s="3"/>
      <c r="F31" s="3"/>
      <c r="G31" s="3"/>
      <c r="H31" s="98"/>
      <c r="I31" s="95"/>
      <c r="J31" s="3"/>
      <c r="K31" s="3"/>
      <c r="L31" s="3"/>
      <c r="M31" s="3"/>
      <c r="N31" s="432" t="s">
        <v>187</v>
      </c>
      <c r="O31" s="480">
        <f>Transmitters!I71</f>
        <v>0.996</v>
      </c>
      <c r="P31" s="3"/>
      <c r="Q31" s="3"/>
      <c r="R31" s="98"/>
    </row>
    <row r="32" spans="1:18" x14ac:dyDescent="0.15">
      <c r="A32" s="95"/>
      <c r="B32" s="3"/>
      <c r="C32" s="3"/>
      <c r="D32" s="3"/>
      <c r="E32" s="3"/>
      <c r="F32" s="3"/>
      <c r="G32" s="3"/>
      <c r="H32" s="98"/>
      <c r="I32" s="95"/>
      <c r="J32" s="3"/>
      <c r="K32" s="3"/>
      <c r="L32" s="3"/>
      <c r="M32" s="3"/>
      <c r="N32" s="3"/>
      <c r="O32" s="3"/>
      <c r="P32" s="3"/>
      <c r="Q32" s="3"/>
      <c r="R32" s="98"/>
    </row>
    <row r="33" spans="1:18" x14ac:dyDescent="0.15">
      <c r="A33" s="95"/>
      <c r="B33" s="3"/>
      <c r="C33" s="3"/>
      <c r="D33" s="3"/>
      <c r="E33" s="3"/>
      <c r="F33" s="3"/>
      <c r="G33" s="3"/>
      <c r="H33" s="98"/>
      <c r="I33" s="95"/>
      <c r="J33" s="3"/>
      <c r="K33" s="3"/>
      <c r="L33" s="3"/>
      <c r="M33" s="4" t="s">
        <v>673</v>
      </c>
      <c r="N33" s="3"/>
      <c r="O33" s="3"/>
      <c r="P33" s="3"/>
      <c r="Q33" s="3"/>
      <c r="R33" s="98"/>
    </row>
    <row r="34" spans="1:18" x14ac:dyDescent="0.15">
      <c r="A34" s="95"/>
      <c r="B34" s="3"/>
      <c r="C34" s="3"/>
      <c r="D34" s="3"/>
      <c r="E34" s="3"/>
      <c r="F34" s="432" t="s">
        <v>160</v>
      </c>
      <c r="G34" s="484">
        <f>'Uplink Budget'!B26</f>
        <v>-24.518760191439693</v>
      </c>
      <c r="H34" s="98"/>
      <c r="I34" s="95"/>
      <c r="J34" s="3"/>
      <c r="K34" s="3"/>
      <c r="L34" s="3"/>
      <c r="M34" s="3"/>
      <c r="N34" s="3"/>
      <c r="O34" s="3"/>
      <c r="P34" s="3"/>
      <c r="Q34" s="3"/>
      <c r="R34" s="98"/>
    </row>
    <row r="35" spans="1:18" x14ac:dyDescent="0.15">
      <c r="A35" s="95"/>
      <c r="B35" s="3"/>
      <c r="C35" s="3"/>
      <c r="D35" s="3"/>
      <c r="E35" s="3"/>
      <c r="F35" s="3"/>
      <c r="G35" s="3"/>
      <c r="H35" s="98"/>
      <c r="I35" s="95"/>
      <c r="J35" s="3"/>
      <c r="K35" s="3"/>
      <c r="L35" s="3"/>
      <c r="M35" s="3"/>
      <c r="N35" s="463" t="s">
        <v>188</v>
      </c>
      <c r="O35" s="510">
        <f>'Downlink Budget'!B10</f>
        <v>0</v>
      </c>
      <c r="P35" s="3"/>
      <c r="Q35" s="3"/>
      <c r="R35" s="98"/>
    </row>
    <row r="36" spans="1:18" x14ac:dyDescent="0.15">
      <c r="A36" s="95"/>
      <c r="B36" s="3"/>
      <c r="C36" s="3"/>
      <c r="D36" s="3"/>
      <c r="E36" s="3"/>
      <c r="F36" s="432" t="s">
        <v>159</v>
      </c>
      <c r="G36" s="483">
        <f>'Uplink Budget'!B25</f>
        <v>225.04844638379137</v>
      </c>
      <c r="H36" s="98"/>
      <c r="I36" s="95"/>
      <c r="J36" s="3"/>
      <c r="K36" s="3"/>
      <c r="L36" s="3"/>
      <c r="M36" s="3"/>
      <c r="N36" s="490" t="s">
        <v>786</v>
      </c>
      <c r="O36" s="386" t="str">
        <f>'Antenna Gain'!K41</f>
        <v>RHCP</v>
      </c>
      <c r="P36" s="3"/>
      <c r="Q36" s="3"/>
      <c r="R36" s="98"/>
    </row>
    <row r="37" spans="1:18" x14ac:dyDescent="0.15">
      <c r="A37" s="95"/>
      <c r="B37" s="3"/>
      <c r="C37" s="3"/>
      <c r="D37" s="3"/>
      <c r="E37" s="3"/>
      <c r="F37" s="3"/>
      <c r="G37" s="3"/>
      <c r="H37" s="98"/>
      <c r="I37" s="95"/>
      <c r="J37" s="3"/>
      <c r="K37" s="3"/>
      <c r="L37" s="3"/>
      <c r="M37" s="3"/>
      <c r="N37" s="3"/>
      <c r="O37" s="3"/>
      <c r="P37" s="3"/>
      <c r="Q37" s="3"/>
      <c r="R37" s="98"/>
    </row>
    <row r="38" spans="1:18" x14ac:dyDescent="0.15">
      <c r="A38" s="95"/>
      <c r="B38" s="3"/>
      <c r="C38" s="3"/>
      <c r="D38" s="3"/>
      <c r="E38" s="3"/>
      <c r="F38" s="3"/>
      <c r="G38" s="3"/>
      <c r="H38" s="98"/>
      <c r="I38" s="95"/>
      <c r="J38" s="617" t="str">
        <f>'Antenna Gain'!F41</f>
        <v>Canted Turnstyle</v>
      </c>
      <c r="K38" s="3"/>
      <c r="L38" s="3"/>
      <c r="M38" s="3"/>
      <c r="N38" s="193" t="s">
        <v>189</v>
      </c>
      <c r="O38" s="511">
        <f>'Downlink Budget'!B11</f>
        <v>-0.996</v>
      </c>
      <c r="P38" s="3"/>
      <c r="Q38" s="3"/>
      <c r="R38" s="98"/>
    </row>
    <row r="39" spans="1:18" x14ac:dyDescent="0.15">
      <c r="A39" s="95"/>
      <c r="B39" s="3"/>
      <c r="C39" s="3"/>
      <c r="D39" s="3"/>
      <c r="E39" s="3"/>
      <c r="F39" s="432" t="s">
        <v>154</v>
      </c>
      <c r="G39" s="483">
        <f>Receivers!J65</f>
        <v>0</v>
      </c>
      <c r="H39" s="98"/>
      <c r="I39" s="95"/>
      <c r="J39" s="3"/>
      <c r="K39" s="3"/>
      <c r="L39" s="3"/>
      <c r="M39" s="3"/>
      <c r="N39" s="3"/>
      <c r="O39" s="3"/>
      <c r="P39" s="3"/>
      <c r="Q39" s="3"/>
      <c r="R39" s="98"/>
    </row>
    <row r="40" spans="1:18" x14ac:dyDescent="0.15">
      <c r="A40" s="95"/>
      <c r="B40" s="3"/>
      <c r="C40" s="3"/>
      <c r="D40" s="3"/>
      <c r="E40" s="3"/>
      <c r="F40" s="3"/>
      <c r="G40" s="3"/>
      <c r="H40" s="98"/>
      <c r="I40" s="95"/>
      <c r="J40" s="3"/>
      <c r="K40" s="3"/>
      <c r="L40" s="3"/>
      <c r="M40" s="3"/>
      <c r="N40" s="463" t="s">
        <v>191</v>
      </c>
      <c r="O40" s="464"/>
      <c r="P40" s="3"/>
      <c r="Q40" s="3"/>
      <c r="R40" s="98"/>
    </row>
    <row r="41" spans="1:18" x14ac:dyDescent="0.15">
      <c r="A41" s="95"/>
      <c r="B41" s="3"/>
      <c r="C41" s="3"/>
      <c r="D41" s="3"/>
      <c r="E41" s="3"/>
      <c r="F41" s="3"/>
      <c r="G41" s="3"/>
      <c r="H41" s="98"/>
      <c r="I41" s="95"/>
      <c r="J41" s="3"/>
      <c r="K41" s="3"/>
      <c r="L41" s="3"/>
      <c r="M41" s="3"/>
      <c r="N41" s="515">
        <f>'Downlink Budget'!B13+'Downlink Budget'!B14+'Downlink Budget'!B15+'Downlink Budget'!B16+'Downlink Budget'!B17+'Downlink Budget'!B18+'Downlink Budget'!B22</f>
        <v>149.4896458796668</v>
      </c>
      <c r="O41" s="516" t="s">
        <v>554</v>
      </c>
      <c r="P41" s="3"/>
      <c r="Q41" s="3"/>
      <c r="R41" s="98"/>
    </row>
    <row r="42" spans="1:18" x14ac:dyDescent="0.15">
      <c r="A42" s="95"/>
      <c r="B42" s="3"/>
      <c r="C42" s="3"/>
      <c r="D42" s="3"/>
      <c r="E42" s="3"/>
      <c r="F42" s="3"/>
      <c r="G42" s="3"/>
      <c r="H42" s="98"/>
      <c r="I42" s="95"/>
      <c r="J42" s="3"/>
      <c r="K42" s="3"/>
      <c r="L42" s="3"/>
      <c r="M42" s="3"/>
      <c r="N42" s="3"/>
      <c r="O42" s="3"/>
      <c r="P42" s="3"/>
      <c r="Q42" s="3"/>
      <c r="R42" s="98"/>
    </row>
    <row r="43" spans="1:18" x14ac:dyDescent="0.15">
      <c r="A43" s="95"/>
      <c r="B43" s="3"/>
      <c r="C43" s="3"/>
      <c r="D43" s="3"/>
      <c r="E43" s="3"/>
      <c r="F43" s="3"/>
      <c r="G43" s="3"/>
      <c r="H43" s="98"/>
      <c r="I43" s="95"/>
      <c r="J43" s="3"/>
      <c r="K43" s="3"/>
      <c r="L43" s="3"/>
      <c r="M43" s="3"/>
      <c r="N43" s="432" t="s">
        <v>192</v>
      </c>
      <c r="O43" s="480">
        <f>'Downlink Budget'!B15</f>
        <v>146.94262160665141</v>
      </c>
      <c r="P43" s="3"/>
      <c r="Q43" s="3"/>
      <c r="R43" s="98"/>
    </row>
    <row r="44" spans="1:18" x14ac:dyDescent="0.15">
      <c r="A44" s="95"/>
      <c r="B44" s="3"/>
      <c r="C44" s="3"/>
      <c r="D44" s="3"/>
      <c r="E44" s="3"/>
      <c r="F44" s="3"/>
      <c r="G44" s="3"/>
      <c r="H44" s="98"/>
      <c r="I44" s="95"/>
      <c r="J44" s="3"/>
      <c r="K44" s="3"/>
      <c r="L44" s="3"/>
      <c r="M44" s="3"/>
      <c r="N44" s="3"/>
      <c r="O44" s="3"/>
      <c r="P44" s="3"/>
      <c r="Q44" s="3"/>
      <c r="R44" s="98"/>
    </row>
    <row r="45" spans="1:18" x14ac:dyDescent="0.15">
      <c r="A45" s="95"/>
      <c r="B45" s="3"/>
      <c r="C45" s="3"/>
      <c r="D45" s="3"/>
      <c r="E45" s="3"/>
      <c r="F45" s="432" t="s">
        <v>151</v>
      </c>
      <c r="G45" s="480">
        <f>Receivers!F63</f>
        <v>23</v>
      </c>
      <c r="H45" s="98"/>
      <c r="I45" s="95"/>
      <c r="J45" s="3" t="str">
        <f>'Antenna Gain'!F58</f>
        <v>Yagi</v>
      </c>
      <c r="K45" s="3"/>
      <c r="L45" s="3"/>
      <c r="M45" s="3"/>
      <c r="N45" s="3"/>
      <c r="O45" s="3"/>
      <c r="P45" s="3"/>
      <c r="Q45" s="3"/>
      <c r="R45" s="98"/>
    </row>
    <row r="46" spans="1:18" x14ac:dyDescent="0.15">
      <c r="A46" s="95"/>
      <c r="B46" s="3"/>
      <c r="C46" s="3"/>
      <c r="D46" s="3"/>
      <c r="E46" s="3"/>
      <c r="F46" s="3"/>
      <c r="G46" s="3"/>
      <c r="H46" s="98"/>
      <c r="I46" s="95"/>
      <c r="J46" s="3"/>
      <c r="K46" s="3"/>
      <c r="L46" s="3"/>
      <c r="M46" s="3"/>
      <c r="N46" s="3"/>
      <c r="O46" s="3"/>
      <c r="P46" s="3"/>
      <c r="Q46" s="3"/>
      <c r="R46" s="98"/>
    </row>
    <row r="47" spans="1:18" x14ac:dyDescent="0.15">
      <c r="A47" s="95"/>
      <c r="B47" s="3"/>
      <c r="C47" s="3"/>
      <c r="D47" s="3"/>
      <c r="E47" s="3"/>
      <c r="F47" s="432" t="s">
        <v>150</v>
      </c>
      <c r="G47" s="483">
        <f>Receivers!J61</f>
        <v>77.7</v>
      </c>
      <c r="H47" s="98"/>
      <c r="I47" s="95"/>
      <c r="J47" s="3"/>
      <c r="K47" s="3"/>
      <c r="L47" s="3"/>
      <c r="M47" s="3"/>
      <c r="N47" s="432" t="s">
        <v>193</v>
      </c>
      <c r="O47" s="478">
        <f>'Downlink Budget'!B23</f>
        <v>18.649999999999999</v>
      </c>
      <c r="P47" s="3"/>
      <c r="Q47" s="3"/>
      <c r="R47" s="98"/>
    </row>
    <row r="48" spans="1:18" x14ac:dyDescent="0.15">
      <c r="A48" s="95"/>
      <c r="B48" s="3"/>
      <c r="C48" s="3"/>
      <c r="D48" s="3"/>
      <c r="E48" s="3"/>
      <c r="F48" s="3"/>
      <c r="G48" s="3"/>
      <c r="H48" s="98"/>
      <c r="I48" s="95"/>
      <c r="J48" s="3"/>
      <c r="K48" s="3"/>
      <c r="L48" s="3"/>
      <c r="M48" s="3"/>
      <c r="N48" s="490" t="s">
        <v>786</v>
      </c>
      <c r="O48" s="386" t="str">
        <f>'Antenna Gain'!K58</f>
        <v>RHCP</v>
      </c>
      <c r="P48" s="3"/>
      <c r="Q48" s="3"/>
      <c r="R48" s="98"/>
    </row>
    <row r="49" spans="1:18" x14ac:dyDescent="0.15">
      <c r="A49" s="95"/>
      <c r="B49" s="3"/>
      <c r="C49" s="3"/>
      <c r="D49" s="3"/>
      <c r="E49" s="3"/>
      <c r="F49" s="432" t="s">
        <v>152</v>
      </c>
      <c r="G49" s="482">
        <f>Receivers!J53</f>
        <v>0.99600000000000011</v>
      </c>
      <c r="H49" s="98"/>
      <c r="I49" s="95"/>
      <c r="J49" s="3"/>
      <c r="K49" s="3"/>
      <c r="L49" s="3"/>
      <c r="M49" s="3"/>
      <c r="N49" s="3"/>
      <c r="O49" s="3"/>
      <c r="P49" s="3"/>
      <c r="Q49" s="3"/>
      <c r="R49" s="98"/>
    </row>
    <row r="50" spans="1:18" x14ac:dyDescent="0.15">
      <c r="A50" s="95"/>
      <c r="B50" s="3"/>
      <c r="C50" s="3"/>
      <c r="D50" s="3"/>
      <c r="E50" s="3"/>
      <c r="F50" s="3"/>
      <c r="G50" s="3"/>
      <c r="H50" s="98"/>
      <c r="I50" s="95"/>
      <c r="J50" s="3"/>
      <c r="K50" s="3"/>
      <c r="L50" s="3"/>
      <c r="M50" s="4" t="s">
        <v>678</v>
      </c>
      <c r="N50" s="3"/>
      <c r="O50" s="3"/>
      <c r="P50" s="3"/>
      <c r="Q50" s="3"/>
      <c r="R50" s="98"/>
    </row>
    <row r="51" spans="1:18" x14ac:dyDescent="0.15">
      <c r="A51" s="95"/>
      <c r="B51" s="3"/>
      <c r="C51" s="3"/>
      <c r="D51" s="3"/>
      <c r="E51" s="3" t="s">
        <v>137</v>
      </c>
      <c r="F51" s="432" t="s">
        <v>148</v>
      </c>
      <c r="G51" s="481">
        <f>Receivers!J45</f>
        <v>6.6000000000000003E-2</v>
      </c>
      <c r="H51" s="98"/>
      <c r="I51" s="95"/>
      <c r="J51" s="3"/>
      <c r="K51" s="3"/>
      <c r="L51" s="3"/>
      <c r="M51" s="3"/>
      <c r="N51" s="3"/>
      <c r="O51" s="3"/>
      <c r="P51" s="3"/>
      <c r="Q51" s="3"/>
      <c r="R51" s="98"/>
    </row>
    <row r="52" spans="1:18" x14ac:dyDescent="0.15">
      <c r="A52" s="95"/>
      <c r="B52" s="3"/>
      <c r="C52" s="3"/>
      <c r="D52" s="3"/>
      <c r="E52" s="3"/>
      <c r="F52" s="3"/>
      <c r="G52" s="3"/>
      <c r="H52" s="98"/>
      <c r="I52" s="95"/>
      <c r="J52" s="3"/>
      <c r="K52" s="3"/>
      <c r="L52" s="3"/>
      <c r="M52" s="3"/>
      <c r="N52" s="3" t="s">
        <v>512</v>
      </c>
      <c r="O52" s="3"/>
      <c r="P52" s="3"/>
      <c r="Q52" s="3"/>
      <c r="R52" s="98"/>
    </row>
    <row r="53" spans="1:18" x14ac:dyDescent="0.15">
      <c r="A53" s="95"/>
      <c r="B53" s="3"/>
      <c r="C53" s="3"/>
      <c r="D53" s="3"/>
      <c r="E53" s="3"/>
      <c r="F53" s="432" t="s">
        <v>162</v>
      </c>
      <c r="G53" s="474">
        <f>Receivers!J48</f>
        <v>0.5</v>
      </c>
      <c r="H53" s="98"/>
      <c r="I53" s="95"/>
      <c r="J53" s="3"/>
      <c r="K53" s="3"/>
      <c r="L53" s="3"/>
      <c r="M53" s="3"/>
      <c r="N53" s="3"/>
      <c r="O53" s="3"/>
      <c r="P53" s="3"/>
      <c r="Q53" s="3"/>
      <c r="R53" s="98"/>
    </row>
    <row r="54" spans="1:18" x14ac:dyDescent="0.15">
      <c r="A54" s="95"/>
      <c r="B54" s="3"/>
      <c r="C54" s="3"/>
      <c r="D54" s="3"/>
      <c r="E54" s="3"/>
      <c r="F54" s="3"/>
      <c r="G54" s="3"/>
      <c r="H54" s="98"/>
      <c r="I54" s="95"/>
      <c r="J54" s="3"/>
      <c r="K54" s="3"/>
      <c r="L54" s="3"/>
      <c r="M54" s="3" t="s">
        <v>138</v>
      </c>
      <c r="N54" s="432" t="s">
        <v>194</v>
      </c>
      <c r="O54" s="512">
        <f>Receivers!J118</f>
        <v>2.76E-2</v>
      </c>
      <c r="P54" s="3"/>
      <c r="Q54" s="3"/>
      <c r="R54" s="98"/>
    </row>
    <row r="55" spans="1:18" x14ac:dyDescent="0.15">
      <c r="A55" s="95"/>
      <c r="B55" s="3"/>
      <c r="C55" s="3"/>
      <c r="D55" s="3"/>
      <c r="E55" s="3" t="s">
        <v>922</v>
      </c>
      <c r="F55" s="432" t="s">
        <v>147</v>
      </c>
      <c r="G55" s="481">
        <f>Receivers!J46</f>
        <v>0</v>
      </c>
      <c r="H55" s="98"/>
      <c r="I55" s="95"/>
      <c r="J55" s="3"/>
      <c r="K55" s="3"/>
      <c r="L55" s="3"/>
      <c r="M55" s="3"/>
      <c r="N55" s="3"/>
      <c r="O55" s="3"/>
      <c r="P55" s="3"/>
      <c r="Q55" s="3"/>
      <c r="R55" s="98"/>
    </row>
    <row r="56" spans="1:18" x14ac:dyDescent="0.15">
      <c r="A56" s="95"/>
      <c r="B56" s="3"/>
      <c r="C56" s="3"/>
      <c r="D56" s="3"/>
      <c r="E56" s="3"/>
      <c r="F56" s="3"/>
      <c r="G56" s="3"/>
      <c r="H56" s="98"/>
      <c r="I56" s="95"/>
      <c r="J56" s="3"/>
      <c r="K56" s="3"/>
      <c r="L56" s="3"/>
      <c r="M56" s="3"/>
      <c r="N56" s="432" t="s">
        <v>259</v>
      </c>
      <c r="O56" s="480">
        <f>Receivers!J120</f>
        <v>0.5</v>
      </c>
      <c r="P56" s="3"/>
      <c r="Q56" s="3"/>
      <c r="R56" s="98"/>
    </row>
    <row r="57" spans="1:18" x14ac:dyDescent="0.15">
      <c r="A57" s="95"/>
      <c r="B57" s="3"/>
      <c r="C57" s="3"/>
      <c r="D57" s="3"/>
      <c r="E57" s="3"/>
      <c r="F57" s="3"/>
      <c r="G57" s="3"/>
      <c r="H57" s="98"/>
      <c r="I57" s="95"/>
      <c r="J57" s="3"/>
      <c r="K57" s="3"/>
      <c r="L57" s="3"/>
      <c r="M57" s="3"/>
      <c r="N57" s="476" t="str">
        <f>Receivers!J122</f>
        <v>none</v>
      </c>
      <c r="O57" s="477"/>
      <c r="P57" s="3"/>
      <c r="Q57" s="3"/>
      <c r="R57" s="98"/>
    </row>
    <row r="58" spans="1:18" x14ac:dyDescent="0.15">
      <c r="A58" s="95"/>
      <c r="B58" s="3"/>
      <c r="C58" s="3"/>
      <c r="D58" s="3"/>
      <c r="E58" s="3"/>
      <c r="F58" s="432" t="s">
        <v>260</v>
      </c>
      <c r="G58" s="474">
        <f>Receivers!J49</f>
        <v>0.33</v>
      </c>
      <c r="H58" s="98"/>
      <c r="I58" s="95"/>
      <c r="J58" s="3"/>
      <c r="K58" s="3"/>
      <c r="L58" s="3"/>
      <c r="M58" s="3"/>
      <c r="N58" s="3"/>
      <c r="O58" s="3"/>
      <c r="P58" s="3"/>
      <c r="Q58" s="3"/>
      <c r="R58" s="98"/>
    </row>
    <row r="59" spans="1:18" x14ac:dyDescent="0.15">
      <c r="A59" s="95"/>
      <c r="B59" s="3"/>
      <c r="C59" s="3"/>
      <c r="D59" s="3"/>
      <c r="E59" s="3"/>
      <c r="F59" s="476" t="str">
        <f>Receivers!J51</f>
        <v>board traces</v>
      </c>
      <c r="G59" s="477"/>
      <c r="H59" s="98"/>
      <c r="I59" s="95"/>
      <c r="J59" s="3"/>
      <c r="K59" s="3"/>
      <c r="L59" s="3"/>
      <c r="M59" s="3" t="s">
        <v>922</v>
      </c>
      <c r="N59" s="432" t="s">
        <v>198</v>
      </c>
      <c r="O59" s="481">
        <f>Receivers!J117</f>
        <v>2.76E-2</v>
      </c>
      <c r="P59" s="3"/>
      <c r="Q59" s="3"/>
      <c r="R59" s="98"/>
    </row>
    <row r="60" spans="1:18" x14ac:dyDescent="0.15">
      <c r="A60" s="95"/>
      <c r="B60" s="3"/>
      <c r="C60" s="3"/>
      <c r="D60" s="3"/>
      <c r="E60" s="3"/>
      <c r="F60" s="3"/>
      <c r="G60" s="3"/>
      <c r="H60" s="98"/>
      <c r="I60" s="95"/>
      <c r="J60" s="3"/>
      <c r="K60" s="3"/>
      <c r="L60" s="3"/>
      <c r="M60" s="3"/>
      <c r="N60" s="3"/>
      <c r="O60" s="3"/>
      <c r="P60" s="3"/>
      <c r="Q60" s="3"/>
      <c r="R60" s="98"/>
    </row>
    <row r="61" spans="1:18" x14ac:dyDescent="0.15">
      <c r="A61" s="95"/>
      <c r="B61" s="3"/>
      <c r="C61" s="3"/>
      <c r="D61" s="3"/>
      <c r="E61" s="3" t="s">
        <v>138</v>
      </c>
      <c r="F61" s="432" t="s">
        <v>146</v>
      </c>
      <c r="G61" s="481">
        <f>Receivers!J47</f>
        <v>0</v>
      </c>
      <c r="H61" s="98"/>
      <c r="I61" s="95"/>
      <c r="J61" s="3"/>
      <c r="K61" s="3"/>
      <c r="L61" s="3"/>
      <c r="M61" s="3"/>
      <c r="N61" s="3"/>
      <c r="O61" s="3"/>
      <c r="P61" s="3"/>
      <c r="Q61" s="3"/>
      <c r="R61" s="98"/>
    </row>
    <row r="62" spans="1:18" x14ac:dyDescent="0.15">
      <c r="A62" s="95"/>
      <c r="B62" s="3"/>
      <c r="C62" s="3"/>
      <c r="D62" s="3"/>
      <c r="E62" s="3"/>
      <c r="F62" s="3"/>
      <c r="G62" s="3"/>
      <c r="H62" s="98"/>
      <c r="I62" s="95"/>
      <c r="J62" s="3"/>
      <c r="K62" s="3"/>
      <c r="L62" s="3"/>
      <c r="M62" s="3"/>
      <c r="N62" s="432" t="s">
        <v>200</v>
      </c>
      <c r="O62" s="480">
        <f>Receivers!J119</f>
        <v>0</v>
      </c>
      <c r="P62" s="3"/>
      <c r="Q62" s="3"/>
      <c r="R62" s="98"/>
    </row>
    <row r="63" spans="1:18" x14ac:dyDescent="0.15">
      <c r="A63" s="95"/>
      <c r="B63" s="3"/>
      <c r="C63" s="3"/>
      <c r="D63" s="3"/>
      <c r="E63" s="3"/>
      <c r="F63" s="3"/>
      <c r="G63" s="3"/>
      <c r="H63" s="98"/>
      <c r="I63" s="95"/>
      <c r="J63" s="3"/>
      <c r="K63" s="3"/>
      <c r="L63" s="3"/>
      <c r="M63" s="3"/>
      <c r="N63" s="3"/>
      <c r="O63" s="3"/>
      <c r="P63" s="3"/>
      <c r="Q63" s="3"/>
      <c r="R63" s="98"/>
    </row>
    <row r="64" spans="1:18" x14ac:dyDescent="0.15">
      <c r="A64" s="95"/>
      <c r="B64" s="3"/>
      <c r="C64" s="3"/>
      <c r="D64" s="3"/>
      <c r="E64" s="4" t="s">
        <v>678</v>
      </c>
      <c r="F64" s="3"/>
      <c r="G64" s="3"/>
      <c r="H64" s="98"/>
      <c r="I64" s="95"/>
      <c r="J64" s="3"/>
      <c r="K64" s="3"/>
      <c r="L64" s="3"/>
      <c r="M64" s="3"/>
      <c r="N64" s="3"/>
      <c r="O64" s="3"/>
      <c r="P64" s="3"/>
      <c r="Q64" s="3"/>
      <c r="R64" s="98"/>
    </row>
    <row r="65" spans="1:18" x14ac:dyDescent="0.15">
      <c r="A65" s="95"/>
      <c r="B65" s="3"/>
      <c r="C65" s="3"/>
      <c r="D65" s="3"/>
      <c r="E65" s="3"/>
      <c r="F65" s="3"/>
      <c r="G65" s="3"/>
      <c r="H65" s="98"/>
      <c r="I65" s="95"/>
      <c r="J65" s="3"/>
      <c r="K65" s="3"/>
      <c r="L65" s="3"/>
      <c r="M65" s="3" t="s">
        <v>137</v>
      </c>
      <c r="N65" s="432" t="s">
        <v>199</v>
      </c>
      <c r="O65" s="480">
        <f>Receivers!J116</f>
        <v>0.22999999999999998</v>
      </c>
      <c r="P65" s="3"/>
      <c r="Q65" s="3"/>
      <c r="R65" s="98"/>
    </row>
    <row r="66" spans="1:18" x14ac:dyDescent="0.15">
      <c r="A66" s="95"/>
      <c r="B66" s="3"/>
      <c r="C66" s="3"/>
      <c r="D66" s="3"/>
      <c r="E66" s="3"/>
      <c r="F66" s="432" t="s">
        <v>163</v>
      </c>
      <c r="G66" s="478">
        <f>'Uplink Budget'!B23</f>
        <v>0</v>
      </c>
      <c r="H66" s="98"/>
      <c r="I66" s="95"/>
      <c r="J66" s="3"/>
      <c r="K66" s="3"/>
      <c r="L66" s="3"/>
      <c r="M66" s="3"/>
      <c r="N66" s="3"/>
      <c r="O66" s="3"/>
      <c r="P66" s="3"/>
      <c r="Q66" s="3"/>
      <c r="R66" s="98"/>
    </row>
    <row r="67" spans="1:18" x14ac:dyDescent="0.15">
      <c r="A67" s="95"/>
      <c r="B67" s="3" t="str">
        <f>'Antenna Gain'!F24</f>
        <v>Canted Turnstyle</v>
      </c>
      <c r="C67" s="3"/>
      <c r="D67" s="3"/>
      <c r="E67" s="3"/>
      <c r="F67" s="490" t="s">
        <v>177</v>
      </c>
      <c r="G67" s="498" t="str">
        <f>'Antenna Gain'!K11</f>
        <v>RHCP</v>
      </c>
      <c r="H67" s="98"/>
      <c r="I67" s="95"/>
      <c r="J67" s="3"/>
      <c r="K67" s="3"/>
      <c r="L67" s="3"/>
      <c r="M67" s="3"/>
      <c r="N67" s="432" t="s">
        <v>201</v>
      </c>
      <c r="O67" s="480">
        <f>Receivers!J124</f>
        <v>0.98520000000000008</v>
      </c>
      <c r="P67" s="3"/>
      <c r="Q67" s="3"/>
      <c r="R67" s="98"/>
    </row>
    <row r="68" spans="1:18" x14ac:dyDescent="0.15">
      <c r="A68" s="95"/>
      <c r="B68" s="3"/>
      <c r="C68" s="3"/>
      <c r="D68" s="3"/>
      <c r="E68" s="3"/>
      <c r="F68" s="3" t="s">
        <v>512</v>
      </c>
      <c r="G68" s="3"/>
      <c r="H68" s="98"/>
      <c r="I68" s="95"/>
      <c r="J68" s="3"/>
      <c r="K68" s="3"/>
      <c r="L68" s="3"/>
      <c r="M68" s="3"/>
      <c r="N68" s="3"/>
      <c r="O68" s="3"/>
      <c r="P68" s="3"/>
      <c r="Q68" s="3"/>
      <c r="R68" s="98"/>
    </row>
    <row r="69" spans="1:18" x14ac:dyDescent="0.15">
      <c r="A69" s="95"/>
      <c r="B69" s="3"/>
      <c r="C69" s="3"/>
      <c r="D69" s="3"/>
      <c r="E69" s="3"/>
      <c r="F69" s="432" t="s">
        <v>144</v>
      </c>
      <c r="G69" s="480">
        <f>'Uplink Budget'!B15</f>
        <v>146.94262160665141</v>
      </c>
      <c r="H69" s="98"/>
      <c r="I69" s="95"/>
      <c r="J69" s="3"/>
      <c r="K69" s="3"/>
      <c r="L69" s="3"/>
      <c r="M69" s="3"/>
      <c r="N69" s="432" t="s">
        <v>203</v>
      </c>
      <c r="O69" s="483">
        <f>Receivers!J132</f>
        <v>77.7</v>
      </c>
      <c r="P69" s="3"/>
      <c r="Q69" s="3"/>
      <c r="R69" s="98"/>
    </row>
    <row r="70" spans="1:18" x14ac:dyDescent="0.15">
      <c r="A70" s="95"/>
      <c r="B70" s="3"/>
      <c r="C70" s="3"/>
      <c r="D70" s="3"/>
      <c r="E70" s="3"/>
      <c r="F70" s="3"/>
      <c r="G70" s="3"/>
      <c r="H70" s="98"/>
      <c r="I70" s="95"/>
      <c r="J70" s="3"/>
      <c r="K70" s="3"/>
      <c r="L70" s="3"/>
      <c r="M70" s="3"/>
      <c r="N70" s="3"/>
      <c r="O70" s="3"/>
      <c r="P70" s="3"/>
      <c r="Q70" s="3"/>
      <c r="R70" s="98"/>
    </row>
    <row r="71" spans="1:18" x14ac:dyDescent="0.15">
      <c r="A71" s="95"/>
      <c r="B71" s="3"/>
      <c r="C71" s="3"/>
      <c r="D71" s="3"/>
      <c r="E71" s="3"/>
      <c r="F71" s="467" t="s">
        <v>176</v>
      </c>
      <c r="G71" s="468"/>
      <c r="H71" s="98"/>
      <c r="I71" s="95"/>
      <c r="J71" s="3"/>
      <c r="K71" s="3"/>
      <c r="L71" s="3"/>
      <c r="M71" s="3"/>
      <c r="N71" s="432" t="s">
        <v>202</v>
      </c>
      <c r="O71" s="480">
        <f>Receivers!F134</f>
        <v>24</v>
      </c>
      <c r="P71" s="3"/>
      <c r="Q71" s="3"/>
      <c r="R71" s="98"/>
    </row>
    <row r="72" spans="1:18" x14ac:dyDescent="0.15">
      <c r="A72" s="95"/>
      <c r="B72" s="3"/>
      <c r="C72" s="3"/>
      <c r="D72" s="3"/>
      <c r="E72" s="3"/>
      <c r="F72" s="513">
        <f>'Uplink Budget'!B13+'Uplink Budget'!B14+'Uplink Budget'!B15+'Uplink Budget'!B16+'Uplink Budget'!B17+'Uplink Budget'!B18+'Uplink Budget'!B22</f>
        <v>149.20567253369578</v>
      </c>
      <c r="G72" s="514" t="s">
        <v>554</v>
      </c>
      <c r="H72" s="98"/>
      <c r="I72" s="95"/>
      <c r="J72" s="3"/>
      <c r="K72" s="3"/>
      <c r="L72" s="3"/>
      <c r="M72" s="3"/>
      <c r="N72" s="3"/>
      <c r="O72" s="3"/>
      <c r="P72" s="3"/>
      <c r="Q72" s="3"/>
      <c r="R72" s="98"/>
    </row>
    <row r="73" spans="1:18" x14ac:dyDescent="0.15">
      <c r="A73" s="95"/>
      <c r="B73" s="3"/>
      <c r="C73" s="3"/>
      <c r="D73" s="3"/>
      <c r="E73" s="3"/>
      <c r="F73" s="3"/>
      <c r="G73" s="3"/>
      <c r="H73" s="98"/>
      <c r="I73" s="95"/>
      <c r="J73" s="3"/>
      <c r="K73" s="3"/>
      <c r="L73" s="3"/>
      <c r="M73" s="3"/>
      <c r="N73" s="3"/>
      <c r="O73" s="3"/>
      <c r="P73" s="3"/>
      <c r="Q73" s="3"/>
      <c r="R73" s="98"/>
    </row>
    <row r="74" spans="1:18" x14ac:dyDescent="0.15">
      <c r="A74" s="95"/>
      <c r="B74" s="3"/>
      <c r="C74" s="3"/>
      <c r="D74" s="3"/>
      <c r="E74" s="3"/>
      <c r="F74" s="193" t="s">
        <v>166</v>
      </c>
      <c r="G74" s="479">
        <f>'Uplink Budget'!B11</f>
        <v>30.270599913279622</v>
      </c>
      <c r="H74" s="98"/>
      <c r="I74" s="95"/>
      <c r="J74" s="3"/>
      <c r="K74" s="3"/>
      <c r="L74" s="3"/>
      <c r="M74" s="3"/>
      <c r="N74" s="3"/>
      <c r="O74" s="3"/>
      <c r="P74" s="3"/>
      <c r="Q74" s="3"/>
      <c r="R74" s="98"/>
    </row>
    <row r="75" spans="1:18" x14ac:dyDescent="0.15">
      <c r="A75" s="95"/>
      <c r="B75" s="3"/>
      <c r="C75" s="3"/>
      <c r="D75" s="3"/>
      <c r="E75" s="3"/>
      <c r="F75" s="3"/>
      <c r="G75" s="3"/>
      <c r="H75" s="98"/>
      <c r="I75" s="95"/>
      <c r="J75" s="3"/>
      <c r="K75" s="3"/>
      <c r="L75" s="3"/>
      <c r="M75" s="3"/>
      <c r="N75" s="432" t="s">
        <v>204</v>
      </c>
      <c r="O75" s="483">
        <f>Receivers!J144</f>
        <v>300</v>
      </c>
      <c r="P75" s="3"/>
      <c r="Q75" s="3"/>
      <c r="R75" s="98"/>
    </row>
    <row r="76" spans="1:18" x14ac:dyDescent="0.15">
      <c r="A76" s="95"/>
      <c r="B76" s="3" t="str">
        <f>'Antenna Gain'!F11</f>
        <v>Yagi</v>
      </c>
      <c r="C76" s="3"/>
      <c r="D76" s="3"/>
      <c r="E76" s="3"/>
      <c r="F76" s="432" t="s">
        <v>161</v>
      </c>
      <c r="G76" s="478">
        <f>'Uplink Budget'!B10</f>
        <v>15.25</v>
      </c>
      <c r="H76" s="98"/>
      <c r="I76" s="95"/>
      <c r="J76" s="3"/>
      <c r="K76" s="3"/>
      <c r="L76" s="3"/>
      <c r="M76" s="3"/>
      <c r="N76" s="3"/>
      <c r="O76" s="3"/>
      <c r="P76" s="3"/>
      <c r="Q76" s="3"/>
      <c r="R76" s="98"/>
    </row>
    <row r="77" spans="1:18" x14ac:dyDescent="0.15">
      <c r="A77" s="95"/>
      <c r="B77" s="3"/>
      <c r="C77" s="3"/>
      <c r="D77" s="3"/>
      <c r="E77" s="3"/>
      <c r="F77" s="490" t="s">
        <v>178</v>
      </c>
      <c r="G77" s="498" t="str">
        <f>'Antenna Gain'!K11</f>
        <v>RHCP</v>
      </c>
      <c r="H77" s="98"/>
      <c r="I77" s="95"/>
      <c r="J77" s="3"/>
      <c r="K77" s="3"/>
      <c r="L77" s="3"/>
      <c r="M77" s="3"/>
      <c r="N77" s="3"/>
      <c r="O77" s="3"/>
      <c r="P77" s="3"/>
      <c r="Q77" s="3"/>
      <c r="R77" s="98"/>
    </row>
    <row r="78" spans="1:18" x14ac:dyDescent="0.15">
      <c r="A78" s="95"/>
      <c r="B78" s="3"/>
      <c r="C78" s="3"/>
      <c r="D78" s="3"/>
      <c r="E78" s="3"/>
      <c r="F78" s="3" t="s">
        <v>512</v>
      </c>
      <c r="G78" s="3"/>
      <c r="H78" s="98"/>
      <c r="I78" s="95"/>
      <c r="J78" s="3"/>
      <c r="K78" s="3"/>
      <c r="L78" s="3"/>
      <c r="M78" s="3"/>
      <c r="N78" s="3"/>
      <c r="O78" s="3"/>
      <c r="P78" s="3"/>
      <c r="Q78" s="3"/>
      <c r="R78" s="98"/>
    </row>
    <row r="79" spans="1:18" x14ac:dyDescent="0.15">
      <c r="A79" s="95"/>
      <c r="B79" s="3"/>
      <c r="C79" s="3"/>
      <c r="D79" s="3"/>
      <c r="E79" s="4" t="s">
        <v>673</v>
      </c>
      <c r="F79" s="3"/>
      <c r="G79" s="3"/>
      <c r="H79" s="98"/>
      <c r="I79" s="95"/>
      <c r="J79" s="3"/>
      <c r="K79" s="3"/>
      <c r="L79" s="3"/>
      <c r="M79" s="3"/>
      <c r="N79" s="3"/>
      <c r="O79" s="3"/>
      <c r="P79" s="3"/>
      <c r="Q79" s="3"/>
      <c r="R79" s="98"/>
    </row>
    <row r="80" spans="1:18" x14ac:dyDescent="0.15">
      <c r="A80" s="95"/>
      <c r="B80" s="3"/>
      <c r="C80" s="3"/>
      <c r="D80" s="3"/>
      <c r="E80" s="3"/>
      <c r="F80" s="3"/>
      <c r="G80" s="3"/>
      <c r="H80" s="98"/>
      <c r="I80" s="95"/>
      <c r="J80" s="3"/>
      <c r="K80" s="3"/>
      <c r="L80" s="3"/>
      <c r="M80" s="3"/>
      <c r="N80" s="3"/>
      <c r="O80" s="3"/>
      <c r="P80" s="3"/>
      <c r="Q80" s="3"/>
      <c r="R80" s="98"/>
    </row>
    <row r="81" spans="1:18" x14ac:dyDescent="0.15">
      <c r="A81" s="95"/>
      <c r="B81" s="3"/>
      <c r="C81" s="3"/>
      <c r="D81" s="3"/>
      <c r="E81" s="3"/>
      <c r="F81" s="3"/>
      <c r="G81" s="3"/>
      <c r="H81" s="98"/>
      <c r="I81" s="95"/>
      <c r="J81" s="3"/>
      <c r="K81" s="3"/>
      <c r="L81" s="3"/>
      <c r="M81" s="3"/>
      <c r="N81" s="3"/>
      <c r="O81" s="3"/>
      <c r="P81" s="3"/>
      <c r="Q81" s="3"/>
      <c r="R81" s="98"/>
    </row>
    <row r="82" spans="1:18" x14ac:dyDescent="0.15">
      <c r="A82" s="95"/>
      <c r="B82" s="3"/>
      <c r="C82" s="3"/>
      <c r="D82" s="3"/>
      <c r="E82" s="3"/>
      <c r="F82" s="432" t="s">
        <v>153</v>
      </c>
      <c r="G82" s="482">
        <f>Transmitters!I35</f>
        <v>1</v>
      </c>
      <c r="H82" s="98"/>
      <c r="I82" s="95"/>
      <c r="J82" s="3"/>
      <c r="K82" s="3"/>
      <c r="L82" s="3"/>
      <c r="M82" s="3"/>
      <c r="N82" s="3"/>
      <c r="O82" s="3"/>
      <c r="P82" s="3"/>
      <c r="Q82" s="3"/>
      <c r="R82" s="98"/>
    </row>
    <row r="83" spans="1:18" x14ac:dyDescent="0.15">
      <c r="A83" s="95"/>
      <c r="B83" s="3"/>
      <c r="C83" s="3"/>
      <c r="D83" s="3"/>
      <c r="E83" s="3" t="s">
        <v>512</v>
      </c>
      <c r="F83" s="3" t="s">
        <v>512</v>
      </c>
      <c r="G83" s="3"/>
      <c r="H83" s="98"/>
      <c r="I83" s="95"/>
      <c r="J83" s="3"/>
      <c r="K83" s="3"/>
      <c r="L83" s="3"/>
      <c r="M83" s="3"/>
      <c r="N83" s="3"/>
      <c r="O83" s="3"/>
      <c r="P83" s="3"/>
      <c r="Q83" s="3"/>
      <c r="R83" s="98"/>
    </row>
    <row r="84" spans="1:18" x14ac:dyDescent="0.15">
      <c r="A84" s="95"/>
      <c r="B84" s="3"/>
      <c r="C84" s="3"/>
      <c r="D84" s="3"/>
      <c r="E84" s="3" t="s">
        <v>138</v>
      </c>
      <c r="F84" s="432" t="s">
        <v>142</v>
      </c>
      <c r="G84" s="475">
        <f>Transmitters!E25*Transmitters!I21</f>
        <v>0.1</v>
      </c>
      <c r="H84" s="98"/>
      <c r="I84" s="95"/>
      <c r="J84" s="3"/>
      <c r="K84" s="3"/>
      <c r="L84" s="3"/>
      <c r="M84" s="3"/>
      <c r="N84" s="3"/>
      <c r="O84" s="3"/>
      <c r="P84" s="3"/>
      <c r="Q84" s="3"/>
      <c r="R84" s="98"/>
    </row>
    <row r="85" spans="1:18" x14ac:dyDescent="0.15">
      <c r="A85" s="95"/>
      <c r="B85" s="3"/>
      <c r="C85" s="3"/>
      <c r="D85" s="3"/>
      <c r="E85" s="3"/>
      <c r="F85" s="3"/>
      <c r="G85" s="3"/>
      <c r="H85" s="98"/>
      <c r="I85" s="95"/>
      <c r="J85" s="3"/>
      <c r="K85" s="3"/>
      <c r="L85" s="3"/>
      <c r="M85" s="3"/>
      <c r="N85" s="3"/>
      <c r="O85" s="3"/>
      <c r="P85" s="3"/>
      <c r="Q85" s="3"/>
      <c r="R85" s="98"/>
    </row>
    <row r="86" spans="1:18" x14ac:dyDescent="0.15">
      <c r="A86" s="95"/>
      <c r="B86" s="3"/>
      <c r="C86" s="3"/>
      <c r="D86" s="3"/>
      <c r="E86" s="3"/>
      <c r="F86" s="3"/>
      <c r="G86" s="3"/>
      <c r="H86" s="98"/>
      <c r="I86" s="95"/>
      <c r="J86" s="3"/>
      <c r="K86" s="3"/>
      <c r="L86" s="3"/>
      <c r="M86" s="3"/>
      <c r="N86" s="3"/>
      <c r="O86" s="3"/>
      <c r="P86" s="3"/>
      <c r="Q86" s="3"/>
      <c r="R86" s="98"/>
    </row>
    <row r="87" spans="1:18" x14ac:dyDescent="0.15">
      <c r="A87" s="95"/>
      <c r="B87" s="3"/>
      <c r="C87" s="3"/>
      <c r="D87" s="3"/>
      <c r="E87" s="3"/>
      <c r="F87" s="432" t="s">
        <v>149</v>
      </c>
      <c r="G87" s="478">
        <f>Transmitters!I31</f>
        <v>0</v>
      </c>
      <c r="H87" s="98"/>
      <c r="I87" s="95"/>
      <c r="J87" s="3"/>
      <c r="K87" s="3"/>
      <c r="L87" s="3"/>
      <c r="M87" s="3"/>
      <c r="N87" s="3"/>
      <c r="O87" s="3"/>
      <c r="P87" s="3"/>
      <c r="Q87" s="3"/>
      <c r="R87" s="98"/>
    </row>
    <row r="88" spans="1:18" x14ac:dyDescent="0.15">
      <c r="A88" s="95"/>
      <c r="B88" s="3"/>
      <c r="C88" s="3"/>
      <c r="D88" s="3"/>
      <c r="E88" s="3"/>
      <c r="F88" s="509" t="str">
        <f>Transmitters!F31</f>
        <v>Directional Coupler</v>
      </c>
      <c r="G88" s="477"/>
      <c r="H88" s="98"/>
      <c r="I88" s="95"/>
      <c r="J88" s="3"/>
      <c r="K88" s="3"/>
      <c r="L88" s="3"/>
      <c r="M88" s="3"/>
      <c r="N88" s="432" t="s">
        <v>205</v>
      </c>
      <c r="O88" s="517">
        <f>'Downlink Budget'!B56</f>
        <v>14400</v>
      </c>
      <c r="P88" s="3"/>
      <c r="Q88" s="3"/>
      <c r="R88" s="98"/>
    </row>
    <row r="89" spans="1:18" x14ac:dyDescent="0.15">
      <c r="A89" s="95"/>
      <c r="B89" s="3"/>
      <c r="C89" s="3"/>
      <c r="D89" s="3"/>
      <c r="E89" s="3"/>
      <c r="F89" s="3"/>
      <c r="G89" s="3"/>
      <c r="H89" s="98"/>
      <c r="I89" s="95"/>
      <c r="J89" s="3"/>
      <c r="K89" s="3"/>
      <c r="L89" s="3"/>
      <c r="M89" s="3"/>
      <c r="N89" s="3" t="s">
        <v>206</v>
      </c>
      <c r="O89" s="3"/>
      <c r="P89" s="3"/>
      <c r="Q89" s="3"/>
      <c r="R89" s="98"/>
    </row>
    <row r="90" spans="1:18" x14ac:dyDescent="0.15">
      <c r="A90" s="95"/>
      <c r="B90" s="3"/>
      <c r="C90" s="3"/>
      <c r="D90" s="3"/>
      <c r="E90" s="3" t="s">
        <v>922</v>
      </c>
      <c r="F90" s="432" t="s">
        <v>141</v>
      </c>
      <c r="G90" s="475">
        <f>Transmitters!E25*Transmitters!I20</f>
        <v>2.5000000000000001E-2</v>
      </c>
      <c r="H90" s="98"/>
      <c r="I90" s="95"/>
      <c r="J90" s="3"/>
      <c r="K90" s="3"/>
      <c r="L90" s="3"/>
      <c r="M90" s="3"/>
      <c r="N90" s="3"/>
      <c r="O90" s="3"/>
      <c r="P90" s="3"/>
      <c r="Q90" s="3"/>
      <c r="R90" s="98"/>
    </row>
    <row r="91" spans="1:18" x14ac:dyDescent="0.15">
      <c r="A91" s="95"/>
      <c r="B91" s="3"/>
      <c r="C91" s="3"/>
      <c r="D91" s="3"/>
      <c r="E91" s="3"/>
      <c r="F91" s="3"/>
      <c r="G91" s="3"/>
      <c r="H91" s="98"/>
      <c r="I91" s="95"/>
      <c r="J91" s="3"/>
      <c r="K91" s="3"/>
      <c r="L91" s="3"/>
      <c r="M91" s="3"/>
      <c r="N91" s="3"/>
      <c r="O91" s="3"/>
      <c r="P91" s="3"/>
      <c r="Q91" s="3"/>
      <c r="R91" s="98"/>
    </row>
    <row r="92" spans="1:18" x14ac:dyDescent="0.15">
      <c r="A92" s="95"/>
      <c r="B92" s="3"/>
      <c r="C92" s="3"/>
      <c r="D92" s="3"/>
      <c r="E92" s="3"/>
      <c r="F92" s="3"/>
      <c r="G92" s="3"/>
      <c r="H92" s="98"/>
      <c r="I92" s="95"/>
      <c r="J92" s="3"/>
      <c r="K92" s="3"/>
      <c r="L92" s="3"/>
      <c r="M92" s="3"/>
      <c r="N92" s="3"/>
      <c r="O92" s="3"/>
      <c r="P92" s="3"/>
      <c r="Q92" s="3"/>
      <c r="R92" s="98"/>
    </row>
    <row r="93" spans="1:18" x14ac:dyDescent="0.15">
      <c r="A93" s="95"/>
      <c r="B93" s="3"/>
      <c r="C93" s="3"/>
      <c r="D93" s="3"/>
      <c r="E93" s="3"/>
      <c r="F93" s="432" t="s">
        <v>145</v>
      </c>
      <c r="G93" s="474">
        <f>Transmitters!I30</f>
        <v>0</v>
      </c>
      <c r="H93" s="98"/>
      <c r="I93" s="95"/>
      <c r="J93" s="3"/>
      <c r="K93" s="3"/>
      <c r="L93" s="3"/>
      <c r="M93" s="3"/>
      <c r="N93" s="490" t="s">
        <v>172</v>
      </c>
      <c r="O93" s="518">
        <f>'Downlink Budget'!B35</f>
        <v>1.0000000000000001E-5</v>
      </c>
      <c r="P93" s="3"/>
      <c r="Q93" s="3"/>
      <c r="R93" s="98"/>
    </row>
    <row r="94" spans="1:18" x14ac:dyDescent="0.15">
      <c r="A94" s="95"/>
      <c r="B94" s="3"/>
      <c r="C94" s="3"/>
      <c r="D94" s="3"/>
      <c r="E94" s="3"/>
      <c r="F94" s="3"/>
      <c r="G94" s="3"/>
      <c r="H94" s="98"/>
      <c r="I94" s="95"/>
      <c r="J94" s="3"/>
      <c r="K94" s="3"/>
      <c r="L94" s="3"/>
      <c r="M94" s="3"/>
      <c r="N94" s="504" t="s">
        <v>211</v>
      </c>
      <c r="O94" s="505"/>
      <c r="P94" s="3"/>
      <c r="Q94" s="3"/>
      <c r="R94" s="98"/>
    </row>
    <row r="95" spans="1:18" x14ac:dyDescent="0.15">
      <c r="A95" s="95"/>
      <c r="B95" s="3"/>
      <c r="C95" s="3"/>
      <c r="D95" s="3"/>
      <c r="E95" s="3" t="s">
        <v>137</v>
      </c>
      <c r="F95" s="432" t="s">
        <v>140</v>
      </c>
      <c r="G95" s="475">
        <f>Transmitters!E25*Transmitters!I19</f>
        <v>7.5000000000000011E-2</v>
      </c>
      <c r="H95" s="98"/>
      <c r="I95" s="95"/>
      <c r="J95" s="3"/>
      <c r="K95" s="3"/>
      <c r="L95" s="3"/>
      <c r="M95" s="3"/>
      <c r="N95" s="504" t="str">
        <f>'Downlink Budget'!B32</f>
        <v>G3RUH FSK</v>
      </c>
      <c r="O95" s="505"/>
      <c r="P95" s="3"/>
      <c r="Q95" s="3"/>
      <c r="R95" s="98"/>
    </row>
    <row r="96" spans="1:18" x14ac:dyDescent="0.15">
      <c r="A96" s="95"/>
      <c r="B96" s="3"/>
      <c r="C96" s="3"/>
      <c r="D96" s="3"/>
      <c r="E96" s="3"/>
      <c r="F96" s="3" t="s">
        <v>512</v>
      </c>
      <c r="G96" s="3"/>
      <c r="H96" s="98"/>
      <c r="I96" s="95"/>
      <c r="J96" s="3"/>
      <c r="K96" s="3"/>
      <c r="L96" s="3"/>
      <c r="M96" s="3"/>
      <c r="N96" s="506" t="s">
        <v>53</v>
      </c>
      <c r="O96" s="489">
        <f>'Downlink Budget'!B41</f>
        <v>19</v>
      </c>
      <c r="P96" s="3"/>
      <c r="Q96" s="3"/>
      <c r="R96" s="98"/>
    </row>
    <row r="97" spans="1:18" x14ac:dyDescent="0.15">
      <c r="A97" s="95"/>
      <c r="B97" s="3"/>
      <c r="C97" s="3"/>
      <c r="D97" s="3"/>
      <c r="E97" s="3"/>
      <c r="F97" s="432" t="s">
        <v>139</v>
      </c>
      <c r="G97" s="472">
        <f>Transmitters!E16</f>
        <v>40</v>
      </c>
      <c r="H97" s="98"/>
      <c r="I97" s="95"/>
      <c r="J97" s="3"/>
      <c r="K97" s="3"/>
      <c r="L97" s="3"/>
      <c r="M97" s="3"/>
      <c r="N97" s="3"/>
      <c r="O97" s="3"/>
      <c r="P97" s="3"/>
      <c r="Q97" s="3"/>
      <c r="R97" s="98"/>
    </row>
    <row r="98" spans="1:18" x14ac:dyDescent="0.15">
      <c r="A98" s="95"/>
      <c r="B98" s="3"/>
      <c r="C98" s="3"/>
      <c r="D98" s="3"/>
      <c r="E98" s="3"/>
      <c r="F98" s="3"/>
      <c r="G98" s="3"/>
      <c r="H98" s="98"/>
      <c r="I98" s="95"/>
      <c r="J98" s="3"/>
      <c r="K98" s="3"/>
      <c r="L98" s="3"/>
      <c r="M98" s="3"/>
      <c r="N98" s="3"/>
      <c r="O98" s="3"/>
      <c r="P98" s="3"/>
      <c r="Q98" s="3"/>
      <c r="R98" s="98"/>
    </row>
    <row r="99" spans="1:18" x14ac:dyDescent="0.15">
      <c r="A99" s="95"/>
      <c r="B99" s="3"/>
      <c r="C99" s="3"/>
      <c r="D99" s="3"/>
      <c r="E99" s="3"/>
      <c r="F99" s="3"/>
      <c r="G99" s="3"/>
      <c r="H99" s="98"/>
      <c r="I99" s="95"/>
      <c r="J99" s="3"/>
      <c r="K99" s="3"/>
      <c r="L99" s="3"/>
      <c r="M99" s="3"/>
      <c r="N99" s="3"/>
      <c r="O99" s="3"/>
      <c r="P99" s="3"/>
      <c r="Q99" s="3"/>
      <c r="R99" s="98"/>
    </row>
    <row r="100" spans="1:18" x14ac:dyDescent="0.15">
      <c r="A100" s="95"/>
      <c r="B100" s="3"/>
      <c r="C100" s="3"/>
      <c r="D100" s="3"/>
      <c r="E100" s="3"/>
      <c r="F100" s="3"/>
      <c r="G100" s="3"/>
      <c r="H100" s="98"/>
      <c r="I100" s="95"/>
      <c r="J100" s="3"/>
      <c r="K100" s="3"/>
      <c r="L100" s="3"/>
      <c r="M100" s="3"/>
      <c r="N100" s="463" t="s">
        <v>207</v>
      </c>
      <c r="O100" s="464"/>
      <c r="P100" s="3"/>
      <c r="Q100" s="3"/>
      <c r="R100" s="98"/>
    </row>
    <row r="101" spans="1:18" x14ac:dyDescent="0.15">
      <c r="A101" s="95"/>
      <c r="B101" s="3"/>
      <c r="C101" s="3"/>
      <c r="D101" s="3"/>
      <c r="E101" s="3"/>
      <c r="F101" s="3"/>
      <c r="G101" s="3"/>
      <c r="H101" s="98"/>
      <c r="I101" s="95"/>
      <c r="J101" s="3"/>
      <c r="K101" s="3"/>
      <c r="L101" s="3"/>
      <c r="M101" s="3"/>
      <c r="N101" s="519" t="str">
        <f>'Downlink Budget'!B33</f>
        <v>None</v>
      </c>
      <c r="O101" s="466"/>
      <c r="P101" s="3"/>
      <c r="Q101" s="3"/>
      <c r="R101" s="98"/>
    </row>
    <row r="102" spans="1:18" x14ac:dyDescent="0.15">
      <c r="A102" s="95"/>
      <c r="B102" s="3"/>
      <c r="C102" s="3"/>
      <c r="D102" s="3"/>
      <c r="E102" s="3"/>
      <c r="F102" s="3"/>
      <c r="G102" s="3"/>
      <c r="H102" s="98"/>
      <c r="I102" s="95"/>
      <c r="J102" s="3"/>
      <c r="K102" s="3"/>
      <c r="L102" s="3"/>
      <c r="M102" s="3"/>
      <c r="N102" s="3"/>
      <c r="O102" s="3"/>
      <c r="P102" s="3"/>
      <c r="Q102" s="3"/>
      <c r="R102" s="98"/>
    </row>
    <row r="103" spans="1:18" x14ac:dyDescent="0.15">
      <c r="A103" s="95"/>
      <c r="B103" s="3"/>
      <c r="C103" s="3"/>
      <c r="D103" s="3"/>
      <c r="E103" s="3"/>
      <c r="F103" s="463" t="s">
        <v>167</v>
      </c>
      <c r="G103" s="464"/>
      <c r="H103" s="98"/>
      <c r="I103" s="95"/>
      <c r="J103" s="3"/>
      <c r="K103" s="3"/>
      <c r="L103" s="3"/>
      <c r="M103" s="3"/>
      <c r="N103" s="3"/>
      <c r="O103" s="3"/>
      <c r="P103" s="3"/>
      <c r="Q103" s="3"/>
      <c r="R103" s="98"/>
    </row>
    <row r="104" spans="1:18" x14ac:dyDescent="0.15">
      <c r="A104" s="95"/>
      <c r="B104" s="3"/>
      <c r="C104" s="3"/>
      <c r="D104" s="3"/>
      <c r="E104" s="3"/>
      <c r="F104" s="465" t="str">
        <f>'Uplink Budget'!B32</f>
        <v>G3RUH FSK</v>
      </c>
      <c r="G104" s="466"/>
      <c r="H104" s="98"/>
      <c r="I104" s="95"/>
      <c r="J104" s="3"/>
      <c r="K104" s="3"/>
      <c r="L104" s="3"/>
      <c r="M104" s="3"/>
      <c r="N104" s="3"/>
      <c r="O104" s="3"/>
      <c r="P104" s="3"/>
      <c r="Q104" s="3"/>
      <c r="R104" s="98"/>
    </row>
    <row r="105" spans="1:18" x14ac:dyDescent="0.15">
      <c r="A105" s="95"/>
      <c r="B105" s="3"/>
      <c r="C105" s="3"/>
      <c r="D105" s="3"/>
      <c r="E105" s="3"/>
      <c r="F105" s="3"/>
      <c r="G105" s="3"/>
      <c r="H105" s="98"/>
      <c r="I105" s="95"/>
      <c r="J105" s="3"/>
      <c r="K105" s="432" t="s">
        <v>174</v>
      </c>
      <c r="L105" s="517">
        <f>'Downlink Budget'!B28</f>
        <v>9600</v>
      </c>
      <c r="M105" s="3"/>
      <c r="N105" s="3"/>
      <c r="O105" s="3" t="s">
        <v>512</v>
      </c>
      <c r="P105" s="3" t="s">
        <v>512</v>
      </c>
      <c r="Q105" s="3"/>
      <c r="R105" s="98"/>
    </row>
    <row r="106" spans="1:18" ht="14" thickBot="1" x14ac:dyDescent="0.2">
      <c r="A106" s="95"/>
      <c r="B106" s="3"/>
      <c r="C106" s="3"/>
      <c r="D106" s="3"/>
      <c r="E106" s="3"/>
      <c r="F106" s="467" t="s">
        <v>210</v>
      </c>
      <c r="G106" s="468"/>
      <c r="H106" s="98"/>
      <c r="I106" s="95"/>
      <c r="J106" s="3"/>
      <c r="K106" s="3"/>
      <c r="L106" s="3"/>
      <c r="M106" s="3"/>
      <c r="N106" s="3"/>
      <c r="O106" s="3"/>
      <c r="P106" s="3"/>
      <c r="Q106" s="3"/>
      <c r="R106" s="98"/>
    </row>
    <row r="107" spans="1:18" ht="14" thickBot="1" x14ac:dyDescent="0.2">
      <c r="A107" s="95"/>
      <c r="B107" s="3"/>
      <c r="C107" s="3"/>
      <c r="D107" s="3"/>
      <c r="E107" s="3"/>
      <c r="F107" s="465" t="str">
        <f>'Uplink Budget'!B33</f>
        <v>None</v>
      </c>
      <c r="G107" s="466"/>
      <c r="H107" s="98"/>
      <c r="I107" s="95" t="s">
        <v>212</v>
      </c>
      <c r="J107" s="3"/>
      <c r="K107" s="432" t="s">
        <v>215</v>
      </c>
      <c r="L107" s="480">
        <f>'Downlink Budget'!B30</f>
        <v>29.535039619741944</v>
      </c>
      <c r="M107" s="3"/>
      <c r="N107" s="486" t="s">
        <v>156</v>
      </c>
      <c r="O107" s="591">
        <f>'Downlink Budget'!B43</f>
        <v>10.535039619741944</v>
      </c>
      <c r="P107" s="592" t="str">
        <f>IF(O107&lt;0,"NO LINK !",IF(O107&lt;6,"MARGINAL LINK",IF(O107&gt;6,"LINK CLOSES")))</f>
        <v>LINK CLOSES</v>
      </c>
      <c r="Q107" s="3"/>
      <c r="R107" s="98"/>
    </row>
    <row r="108" spans="1:18" ht="14" thickBot="1" x14ac:dyDescent="0.2">
      <c r="A108" s="95"/>
      <c r="B108" s="3"/>
      <c r="C108" s="3"/>
      <c r="D108" s="3"/>
      <c r="E108" s="3"/>
      <c r="F108" s="3"/>
      <c r="G108" s="3"/>
      <c r="H108" s="98"/>
      <c r="I108" s="95"/>
      <c r="J108" s="3"/>
      <c r="K108" s="3"/>
      <c r="L108" s="3"/>
      <c r="M108" s="3"/>
      <c r="N108" s="3"/>
      <c r="O108" s="3"/>
      <c r="P108" s="3"/>
      <c r="Q108" s="3"/>
      <c r="R108" s="98"/>
    </row>
    <row r="109" spans="1:18" ht="14" thickBot="1" x14ac:dyDescent="0.2">
      <c r="A109" s="95"/>
      <c r="B109" s="3"/>
      <c r="C109" s="432" t="s">
        <v>143</v>
      </c>
      <c r="D109" s="471">
        <f>'Uplink Budget'!B28</f>
        <v>9600</v>
      </c>
      <c r="E109" s="3"/>
      <c r="F109" s="3"/>
      <c r="G109" s="3"/>
      <c r="H109" s="98"/>
      <c r="I109" s="95" t="s">
        <v>214</v>
      </c>
      <c r="J109" s="3"/>
      <c r="K109" s="432" t="s">
        <v>216</v>
      </c>
      <c r="L109" s="480">
        <f>'Downlink Budget'!B60</f>
        <v>27.774127029185138</v>
      </c>
      <c r="M109" s="3"/>
      <c r="N109" s="486" t="s">
        <v>217</v>
      </c>
      <c r="O109" s="591">
        <f>'Downlink Budget'!B64</f>
        <v>13.774127029185138</v>
      </c>
      <c r="P109" s="592" t="str">
        <f>IF(O109&lt;0,"NO LINK !",IF(O109&lt;6,"MARGINAL LINK",IF(O109&gt;6,"LINK CLOSES")))</f>
        <v>LINK CLOSES</v>
      </c>
      <c r="Q109" s="3"/>
      <c r="R109" s="98"/>
    </row>
    <row r="110" spans="1:18" x14ac:dyDescent="0.15">
      <c r="A110" s="95"/>
      <c r="B110" s="3"/>
      <c r="C110" s="3"/>
      <c r="D110" s="3"/>
      <c r="E110" s="3"/>
      <c r="F110" s="3"/>
      <c r="G110" s="3"/>
      <c r="H110" s="98"/>
      <c r="I110" s="95"/>
      <c r="J110" s="3"/>
      <c r="K110" s="3"/>
      <c r="L110" s="3"/>
      <c r="M110" s="3"/>
      <c r="N110" s="3"/>
      <c r="O110" s="3"/>
      <c r="P110" s="3"/>
      <c r="Q110" s="3"/>
      <c r="R110" s="98"/>
    </row>
    <row r="111" spans="1:18" x14ac:dyDescent="0.15">
      <c r="A111" s="95"/>
      <c r="B111" s="3"/>
      <c r="C111" s="3"/>
      <c r="D111" s="3"/>
      <c r="E111" s="3"/>
      <c r="F111" s="3"/>
      <c r="G111" s="3"/>
      <c r="H111" s="98"/>
      <c r="I111" s="95"/>
      <c r="J111" s="3"/>
      <c r="K111" s="3"/>
      <c r="L111" s="3"/>
      <c r="M111" s="3"/>
      <c r="N111" s="3"/>
      <c r="O111" s="3"/>
      <c r="P111" s="3"/>
      <c r="Q111" s="3"/>
      <c r="R111" s="98"/>
    </row>
    <row r="112" spans="1:18" x14ac:dyDescent="0.15">
      <c r="A112" s="95"/>
      <c r="B112" s="3"/>
      <c r="C112" s="3"/>
      <c r="D112" s="3"/>
      <c r="E112" s="3"/>
      <c r="F112" s="3"/>
      <c r="G112" s="3"/>
      <c r="H112" s="98"/>
      <c r="I112" s="95"/>
      <c r="J112" s="3"/>
      <c r="K112" s="3"/>
      <c r="L112" s="3"/>
      <c r="M112" s="3"/>
      <c r="N112" s="3"/>
      <c r="O112" s="3"/>
      <c r="P112" s="3"/>
      <c r="Q112" s="3"/>
      <c r="R112" s="98"/>
    </row>
    <row r="113" spans="1:18" x14ac:dyDescent="0.15">
      <c r="A113" s="95"/>
      <c r="B113" s="3"/>
      <c r="C113" s="3"/>
      <c r="D113" s="3"/>
      <c r="E113" s="3"/>
      <c r="F113" s="3"/>
      <c r="G113" s="3"/>
      <c r="H113" s="98"/>
      <c r="I113" s="95"/>
      <c r="J113" s="3"/>
      <c r="K113" s="3"/>
      <c r="L113" s="3"/>
      <c r="M113" s="3"/>
      <c r="N113" s="3"/>
      <c r="O113" s="3"/>
      <c r="P113" s="3"/>
      <c r="Q113" s="3"/>
      <c r="R113" s="98"/>
    </row>
    <row r="114" spans="1:18" x14ac:dyDescent="0.15">
      <c r="A114" s="95"/>
      <c r="B114" s="3"/>
      <c r="C114" s="3"/>
      <c r="D114" s="3"/>
      <c r="E114" s="3"/>
      <c r="F114" s="3"/>
      <c r="G114" s="3"/>
      <c r="H114" s="98"/>
      <c r="I114" s="95"/>
      <c r="J114" s="3"/>
      <c r="K114" s="3"/>
      <c r="L114" s="3"/>
      <c r="M114" s="3"/>
      <c r="N114" s="3"/>
      <c r="O114" s="3" t="s">
        <v>512</v>
      </c>
      <c r="P114" s="3"/>
      <c r="Q114" s="3"/>
      <c r="R114" s="98"/>
    </row>
    <row r="115" spans="1:18" ht="14" thickBot="1" x14ac:dyDescent="0.2">
      <c r="A115" s="105"/>
      <c r="B115" s="106"/>
      <c r="C115" s="106"/>
      <c r="D115" s="106"/>
      <c r="E115" s="106"/>
      <c r="F115" s="106"/>
      <c r="G115" s="106"/>
      <c r="H115" s="107"/>
      <c r="I115" s="105"/>
      <c r="J115" s="106"/>
      <c r="K115" s="106"/>
      <c r="L115" s="106"/>
      <c r="M115" s="106"/>
      <c r="N115" s="106"/>
      <c r="O115" s="106"/>
      <c r="P115" s="106"/>
      <c r="Q115" s="106"/>
      <c r="R115" s="107"/>
    </row>
  </sheetData>
  <phoneticPr fontId="26" type="noConversion"/>
  <conditionalFormatting sqref="F5 F7">
    <cfRule type="cellIs" dxfId="5" priority="1" stopIfTrue="1" operator="lessThan">
      <formula>0</formula>
    </cfRule>
    <cfRule type="cellIs" dxfId="4" priority="2" stopIfTrue="1" operator="between">
      <formula>0.001</formula>
      <formula>6</formula>
    </cfRule>
    <cfRule type="cellIs" dxfId="3" priority="3" stopIfTrue="1" operator="greaterThan">
      <formula>6</formula>
    </cfRule>
  </conditionalFormatting>
  <conditionalFormatting sqref="O107 O109">
    <cfRule type="cellIs" dxfId="2" priority="4" stopIfTrue="1" operator="lessThan">
      <formula>0</formula>
    </cfRule>
    <cfRule type="cellIs" dxfId="1" priority="5" stopIfTrue="1" operator="between">
      <formula>0</formula>
      <formula>6</formula>
    </cfRule>
    <cfRule type="cellIs" dxfId="0" priority="6" stopIfTrue="1" operator="greaterThan">
      <formula>6.001</formula>
    </cfRule>
  </conditionalFormatting>
  <pageMargins left="0.82" right="0.19" top="1" bottom="0.64" header="0.5" footer="0.5"/>
  <pageSetup paperSize="9" scale="49" orientation="portrait" horizontalDpi="4294967292" verticalDpi="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indexed="47"/>
  </sheetPr>
  <dimension ref="A1:AC300"/>
  <sheetViews>
    <sheetView topLeftCell="A83" zoomScale="90" zoomScaleNormal="90" workbookViewId="0">
      <selection activeCell="D99" sqref="D99"/>
    </sheetView>
  </sheetViews>
  <sheetFormatPr baseColWidth="10" defaultColWidth="10.6640625" defaultRowHeight="13" x14ac:dyDescent="0.15"/>
  <cols>
    <col min="1" max="1" width="20.1640625" customWidth="1"/>
    <col min="2" max="2" width="11" customWidth="1"/>
    <col min="3" max="3" width="27.1640625" customWidth="1"/>
    <col min="4" max="4" width="18.5" customWidth="1"/>
    <col min="5" max="5" width="18.1640625" customWidth="1"/>
    <col min="6" max="256" width="8.83203125" customWidth="1"/>
  </cols>
  <sheetData>
    <row r="1" spans="1:29" ht="19" thickBot="1" x14ac:dyDescent="0.25">
      <c r="A1" s="119" t="s">
        <v>356</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row>
    <row r="2" spans="1:29"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row>
    <row r="3" spans="1:29"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row>
    <row r="4" spans="1:29" x14ac:dyDescent="0.15">
      <c r="A4" s="605" t="s">
        <v>884</v>
      </c>
      <c r="B4" s="4"/>
      <c r="C4" s="3"/>
      <c r="D4" s="3" t="s">
        <v>512</v>
      </c>
      <c r="E4" s="3"/>
      <c r="F4" s="3"/>
      <c r="G4" s="3"/>
      <c r="H4" s="3"/>
      <c r="I4" s="3"/>
      <c r="J4" s="3"/>
      <c r="K4" s="3"/>
      <c r="L4" s="3"/>
      <c r="M4" s="3"/>
      <c r="N4" s="3"/>
      <c r="O4" s="3"/>
      <c r="P4" s="3"/>
      <c r="Q4" s="3"/>
      <c r="R4" s="3"/>
      <c r="S4" s="3"/>
      <c r="T4" s="3"/>
      <c r="U4" s="3"/>
      <c r="V4" s="3"/>
      <c r="W4" s="3"/>
      <c r="X4" s="3"/>
      <c r="Y4" s="3"/>
      <c r="Z4" s="3"/>
      <c r="AA4" s="3"/>
      <c r="AB4" s="3"/>
      <c r="AC4" s="3"/>
    </row>
    <row r="5" spans="1:29" x14ac:dyDescent="0.15">
      <c r="A5" s="4"/>
      <c r="B5" s="4"/>
      <c r="C5" s="3"/>
      <c r="D5" s="3"/>
      <c r="E5" s="3"/>
      <c r="F5" s="3"/>
      <c r="G5" s="3"/>
      <c r="H5" s="3"/>
      <c r="I5" s="3"/>
      <c r="J5" s="3"/>
      <c r="K5" s="3"/>
      <c r="L5" s="3"/>
      <c r="M5" s="3"/>
      <c r="N5" s="3"/>
      <c r="O5" s="3"/>
      <c r="P5" s="3"/>
      <c r="Q5" s="3"/>
      <c r="R5" s="3"/>
      <c r="S5" s="3"/>
      <c r="T5" s="3"/>
      <c r="U5" s="3"/>
      <c r="V5" s="3"/>
      <c r="W5" s="3"/>
      <c r="X5" s="3"/>
      <c r="Y5" s="3"/>
      <c r="Z5" s="3"/>
      <c r="AA5" s="3"/>
      <c r="AB5" s="3"/>
      <c r="AC5" s="3"/>
    </row>
    <row r="6" spans="1:29" x14ac:dyDescent="0.15">
      <c r="A6" s="614" t="s">
        <v>391</v>
      </c>
      <c r="B6" s="3"/>
      <c r="C6" s="3"/>
      <c r="D6" s="3"/>
      <c r="E6" s="3"/>
      <c r="F6" s="3"/>
      <c r="G6" s="3"/>
      <c r="H6" s="3"/>
      <c r="I6" s="3"/>
      <c r="J6" s="3"/>
      <c r="K6" s="3"/>
      <c r="L6" s="3"/>
      <c r="M6" s="3"/>
      <c r="N6" s="3"/>
      <c r="O6" s="3"/>
      <c r="P6" s="3"/>
      <c r="Q6" s="3"/>
      <c r="R6" s="3"/>
      <c r="S6" s="3"/>
      <c r="T6" s="3"/>
      <c r="U6" s="3"/>
      <c r="V6" s="3"/>
      <c r="W6" s="3"/>
      <c r="X6" s="3"/>
      <c r="Y6" s="3"/>
      <c r="Z6" s="3"/>
      <c r="AA6" s="3"/>
      <c r="AB6" s="3"/>
      <c r="AC6" s="3"/>
    </row>
    <row r="7" spans="1:29" x14ac:dyDescent="0.15">
      <c r="A7" s="3"/>
      <c r="B7" s="32"/>
      <c r="C7" s="3"/>
      <c r="D7" s="3"/>
      <c r="E7" s="3"/>
      <c r="F7" s="3"/>
      <c r="G7" s="3"/>
      <c r="H7" s="3"/>
      <c r="I7" s="3"/>
      <c r="J7" s="3"/>
      <c r="K7" s="3"/>
      <c r="L7" s="3"/>
      <c r="M7" s="3"/>
      <c r="N7" s="3"/>
      <c r="O7" s="3"/>
      <c r="P7" s="3"/>
      <c r="Q7" s="3"/>
      <c r="R7" s="3"/>
      <c r="S7" s="3"/>
      <c r="T7" s="3"/>
      <c r="U7" s="3"/>
      <c r="V7" s="3"/>
      <c r="W7" s="3"/>
      <c r="X7" s="3"/>
      <c r="Y7" s="3"/>
      <c r="Z7" s="3"/>
      <c r="AA7" s="3"/>
      <c r="AB7" s="3"/>
      <c r="AC7" s="3"/>
    </row>
    <row r="8" spans="1:29" x14ac:dyDescent="0.15">
      <c r="A8" s="3"/>
      <c r="B8" s="604" t="s">
        <v>357</v>
      </c>
      <c r="C8" s="607" t="s">
        <v>881</v>
      </c>
      <c r="D8" s="608" t="s">
        <v>883</v>
      </c>
      <c r="E8" s="380" t="s">
        <v>512</v>
      </c>
      <c r="N8" s="3"/>
      <c r="O8" s="3"/>
      <c r="P8" s="3"/>
      <c r="Q8" s="3"/>
      <c r="R8" s="3"/>
      <c r="S8" s="3"/>
      <c r="T8" s="3"/>
      <c r="U8" s="3"/>
      <c r="V8" s="3"/>
      <c r="W8" s="3"/>
      <c r="X8" s="3"/>
      <c r="Y8" s="3"/>
      <c r="Z8" s="3"/>
      <c r="AA8" s="3"/>
      <c r="AB8" s="3"/>
      <c r="AC8" s="3"/>
    </row>
    <row r="9" spans="1:29" x14ac:dyDescent="0.15">
      <c r="A9" s="3"/>
      <c r="B9" s="3"/>
      <c r="C9" s="32">
        <v>0</v>
      </c>
      <c r="D9" s="16">
        <f t="shared" ref="D9:D27" si="0">IF(C9&lt;100,5.15+10*LOG10(COS(RADIANS(90-C9))),"No Signal")</f>
        <v>-156.98019143942429</v>
      </c>
      <c r="E9" s="3"/>
      <c r="N9" s="3"/>
      <c r="O9" s="3"/>
      <c r="P9" s="3"/>
      <c r="Q9" s="3"/>
      <c r="R9" s="3"/>
      <c r="S9" s="3"/>
      <c r="T9" s="3"/>
      <c r="U9" s="3"/>
      <c r="V9" s="3"/>
      <c r="W9" s="3"/>
      <c r="X9" s="3"/>
      <c r="Y9" s="3"/>
      <c r="Z9" s="3"/>
      <c r="AA9" s="3"/>
      <c r="AB9" s="3"/>
      <c r="AC9" s="3"/>
    </row>
    <row r="10" spans="1:29" x14ac:dyDescent="0.15">
      <c r="A10" s="3"/>
      <c r="B10" s="3"/>
      <c r="C10" s="32">
        <v>5</v>
      </c>
      <c r="D10" s="16">
        <f t="shared" si="0"/>
        <v>-5.4470399166987971</v>
      </c>
      <c r="E10" s="3"/>
      <c r="N10" s="3"/>
      <c r="O10" s="3"/>
      <c r="P10" s="3"/>
      <c r="Q10" s="3"/>
      <c r="R10" s="3"/>
      <c r="S10" s="3"/>
      <c r="T10" s="3"/>
      <c r="U10" s="3"/>
      <c r="V10" s="3"/>
      <c r="W10" s="3"/>
      <c r="X10" s="3"/>
      <c r="Y10" s="3"/>
      <c r="Z10" s="3"/>
      <c r="AA10" s="3"/>
      <c r="AB10" s="3"/>
      <c r="AC10" s="3"/>
    </row>
    <row r="11" spans="1:29" x14ac:dyDescent="0.15">
      <c r="A11" s="3"/>
      <c r="B11" s="3"/>
      <c r="C11" s="32">
        <v>10</v>
      </c>
      <c r="D11" s="16">
        <f t="shared" si="0"/>
        <v>-2.4532976998839926</v>
      </c>
      <c r="E11" s="3"/>
      <c r="N11" s="3"/>
      <c r="O11" s="3"/>
      <c r="P11" s="3"/>
      <c r="Q11" s="3"/>
      <c r="R11" s="3"/>
      <c r="S11" s="3"/>
      <c r="T11" s="3"/>
      <c r="U11" s="3"/>
      <c r="V11" s="3"/>
      <c r="W11" s="3"/>
      <c r="X11" s="3"/>
      <c r="Y11" s="3"/>
      <c r="Z11" s="3"/>
      <c r="AA11" s="3"/>
      <c r="AB11" s="3"/>
      <c r="AC11" s="3"/>
    </row>
    <row r="12" spans="1:29" x14ac:dyDescent="0.15">
      <c r="A12" s="3"/>
      <c r="B12" s="3"/>
      <c r="C12" s="32">
        <v>15</v>
      </c>
      <c r="D12" s="16">
        <f t="shared" si="0"/>
        <v>-0.72003769430660824</v>
      </c>
      <c r="E12" s="3"/>
      <c r="N12" s="3"/>
      <c r="O12" s="3"/>
      <c r="P12" s="3"/>
      <c r="Q12" s="3"/>
      <c r="R12" s="3"/>
      <c r="S12" s="3"/>
      <c r="T12" s="3"/>
      <c r="U12" s="3"/>
      <c r="V12" s="3"/>
      <c r="W12" s="3"/>
      <c r="X12" s="3"/>
      <c r="Y12" s="3"/>
      <c r="Z12" s="3"/>
      <c r="AA12" s="3"/>
      <c r="AB12" s="3"/>
      <c r="AC12" s="3"/>
    </row>
    <row r="13" spans="1:29" x14ac:dyDescent="0.15">
      <c r="A13" s="3"/>
      <c r="B13" s="3"/>
      <c r="C13" s="32">
        <v>20</v>
      </c>
      <c r="D13" s="16">
        <f t="shared" si="0"/>
        <v>0.4905168464551739</v>
      </c>
      <c r="E13" s="3"/>
      <c r="N13" s="3"/>
      <c r="O13" s="3"/>
      <c r="P13" s="3"/>
      <c r="Q13" s="3"/>
      <c r="R13" s="3"/>
      <c r="S13" s="3"/>
      <c r="T13" s="3"/>
      <c r="U13" s="3"/>
      <c r="V13" s="3"/>
      <c r="W13" s="3"/>
      <c r="X13" s="3"/>
      <c r="Y13" s="3"/>
      <c r="Z13" s="3"/>
      <c r="AA13" s="3"/>
      <c r="AB13" s="3"/>
      <c r="AC13" s="3"/>
    </row>
    <row r="14" spans="1:29" x14ac:dyDescent="0.15">
      <c r="A14" s="3"/>
      <c r="B14" s="3"/>
      <c r="C14" s="32">
        <v>25</v>
      </c>
      <c r="D14" s="16">
        <f t="shared" si="0"/>
        <v>1.409482594031398</v>
      </c>
      <c r="E14" s="3"/>
      <c r="N14" s="3"/>
      <c r="O14" s="3"/>
      <c r="P14" s="3"/>
      <c r="Q14" s="3"/>
      <c r="R14" s="3"/>
      <c r="S14" s="3"/>
      <c r="T14" s="3"/>
      <c r="U14" s="3"/>
      <c r="V14" s="3"/>
      <c r="W14" s="3"/>
      <c r="X14" s="3"/>
      <c r="Y14" s="3"/>
      <c r="Z14" s="3"/>
      <c r="AA14" s="3"/>
      <c r="AB14" s="3"/>
      <c r="AC14" s="3"/>
    </row>
    <row r="15" spans="1:29" x14ac:dyDescent="0.15">
      <c r="A15" s="3"/>
      <c r="B15" s="3"/>
      <c r="C15" s="32">
        <v>30</v>
      </c>
      <c r="D15" s="16">
        <f t="shared" si="0"/>
        <v>2.1397000433601896</v>
      </c>
      <c r="E15" s="3"/>
      <c r="N15" s="3"/>
      <c r="O15" s="3"/>
      <c r="P15" s="3"/>
      <c r="Q15" s="3"/>
      <c r="R15" s="3"/>
      <c r="S15" s="3"/>
      <c r="T15" s="3"/>
      <c r="U15" s="3"/>
      <c r="V15" s="3"/>
      <c r="W15" s="3"/>
      <c r="X15" s="3"/>
      <c r="Y15" s="3"/>
      <c r="Z15" s="3"/>
      <c r="AA15" s="3"/>
      <c r="AB15" s="3"/>
      <c r="AC15" s="3"/>
    </row>
    <row r="16" spans="1:29" x14ac:dyDescent="0.15">
      <c r="A16" s="3"/>
      <c r="B16" s="3"/>
      <c r="C16" s="32">
        <v>35</v>
      </c>
      <c r="D16" s="16">
        <f t="shared" si="0"/>
        <v>2.7359130135409733</v>
      </c>
      <c r="E16" s="3"/>
      <c r="N16" s="3"/>
      <c r="O16" s="3"/>
      <c r="P16" s="3"/>
      <c r="Q16" s="3"/>
      <c r="R16" s="3"/>
      <c r="S16" s="3"/>
      <c r="T16" s="3"/>
      <c r="U16" s="3"/>
      <c r="V16" s="3"/>
      <c r="W16" s="3"/>
      <c r="X16" s="3"/>
      <c r="Y16" s="3"/>
      <c r="Z16" s="3"/>
      <c r="AA16" s="3"/>
      <c r="AB16" s="3"/>
      <c r="AC16" s="3"/>
    </row>
    <row r="17" spans="1:29" x14ac:dyDescent="0.15">
      <c r="A17" s="3"/>
      <c r="B17" s="3"/>
      <c r="C17" s="32">
        <v>40</v>
      </c>
      <c r="D17" s="16">
        <f t="shared" si="0"/>
        <v>3.2306749675243496</v>
      </c>
      <c r="E17" s="3"/>
      <c r="N17" s="3"/>
      <c r="O17" s="3"/>
      <c r="P17" s="3"/>
      <c r="Q17" s="3"/>
      <c r="R17" s="3"/>
      <c r="S17" s="3"/>
      <c r="T17" s="3"/>
      <c r="U17" s="3"/>
      <c r="V17" s="3"/>
      <c r="W17" s="3"/>
      <c r="X17" s="3"/>
      <c r="Y17" s="3"/>
      <c r="Z17" s="3"/>
      <c r="AA17" s="3"/>
      <c r="AB17" s="3"/>
      <c r="AC17" s="3"/>
    </row>
    <row r="18" spans="1:29" x14ac:dyDescent="0.15">
      <c r="A18" s="3"/>
      <c r="B18" s="3"/>
      <c r="C18" s="32">
        <v>45</v>
      </c>
      <c r="D18" s="16">
        <f t="shared" si="0"/>
        <v>3.6448500216800945</v>
      </c>
      <c r="E18" s="3"/>
      <c r="I18" t="s">
        <v>363</v>
      </c>
      <c r="N18" s="3"/>
      <c r="O18" s="3"/>
      <c r="P18" s="3"/>
      <c r="Q18" s="3"/>
      <c r="R18" s="3"/>
      <c r="S18" s="3"/>
      <c r="T18" s="3"/>
      <c r="U18" s="3"/>
      <c r="V18" s="3"/>
      <c r="W18" s="3"/>
      <c r="X18" s="3"/>
      <c r="Y18" s="3"/>
      <c r="Z18" s="3"/>
      <c r="AA18" s="3"/>
      <c r="AB18" s="3"/>
      <c r="AC18" s="3"/>
    </row>
    <row r="19" spans="1:29" x14ac:dyDescent="0.15">
      <c r="A19" s="3"/>
      <c r="B19" s="3"/>
      <c r="C19" s="32">
        <v>50</v>
      </c>
      <c r="D19" s="16">
        <f t="shared" si="0"/>
        <v>3.9925396655351948</v>
      </c>
      <c r="E19" s="3"/>
      <c r="J19" t="s">
        <v>364</v>
      </c>
      <c r="N19" s="3"/>
      <c r="O19" s="3"/>
      <c r="P19" s="3"/>
      <c r="Q19" s="3"/>
      <c r="R19" s="3"/>
      <c r="S19" s="3"/>
      <c r="T19" s="3"/>
      <c r="U19" s="3"/>
      <c r="V19" s="3"/>
      <c r="W19" s="3"/>
      <c r="X19" s="3"/>
      <c r="Y19" s="3"/>
      <c r="Z19" s="3"/>
      <c r="AA19" s="3"/>
      <c r="AB19" s="3"/>
      <c r="AC19" s="3"/>
    </row>
    <row r="20" spans="1:29" x14ac:dyDescent="0.15">
      <c r="A20" s="3"/>
      <c r="B20" s="3"/>
      <c r="C20" s="32">
        <v>55</v>
      </c>
      <c r="D20" s="16">
        <f t="shared" si="0"/>
        <v>4.2836451942485798</v>
      </c>
      <c r="E20" s="3"/>
      <c r="N20" s="3"/>
      <c r="O20" s="3"/>
      <c r="P20" s="3"/>
      <c r="Q20" s="3"/>
      <c r="R20" s="3"/>
      <c r="S20" s="3"/>
      <c r="T20" s="3"/>
      <c r="U20" s="3"/>
      <c r="V20" s="3"/>
      <c r="W20" s="3"/>
      <c r="X20" s="3"/>
      <c r="Y20" s="3"/>
      <c r="Z20" s="3"/>
      <c r="AA20" s="3"/>
      <c r="AB20" s="3"/>
      <c r="AC20" s="3"/>
    </row>
    <row r="21" spans="1:29" x14ac:dyDescent="0.15">
      <c r="A21" s="3"/>
      <c r="B21" s="3"/>
      <c r="C21" s="32">
        <v>60</v>
      </c>
      <c r="D21" s="16">
        <f t="shared" si="0"/>
        <v>4.5253063169585008</v>
      </c>
      <c r="E21" s="3" t="s">
        <v>512</v>
      </c>
      <c r="N21" s="3"/>
      <c r="O21" s="3"/>
      <c r="P21" s="3"/>
      <c r="Q21" s="3"/>
      <c r="R21" s="3"/>
      <c r="S21" s="3"/>
      <c r="T21" s="3"/>
      <c r="U21" s="3"/>
      <c r="V21" s="3"/>
      <c r="W21" s="3"/>
      <c r="X21" s="3"/>
      <c r="Y21" s="3"/>
      <c r="Z21" s="3"/>
      <c r="AA21" s="3"/>
      <c r="AB21" s="3"/>
      <c r="AC21" s="3"/>
    </row>
    <row r="22" spans="1:29" x14ac:dyDescent="0.15">
      <c r="A22" s="3"/>
      <c r="B22" s="3"/>
      <c r="C22" s="32">
        <v>65</v>
      </c>
      <c r="D22" s="16">
        <f t="shared" si="0"/>
        <v>4.7227571148639855</v>
      </c>
      <c r="E22" s="3"/>
      <c r="N22" s="3"/>
      <c r="O22" s="3"/>
      <c r="P22" s="3"/>
      <c r="Q22" s="3"/>
      <c r="R22" s="3"/>
      <c r="S22" s="3"/>
      <c r="T22" s="3"/>
      <c r="U22" s="3"/>
      <c r="V22" s="3"/>
      <c r="W22" s="3"/>
      <c r="X22" s="3"/>
      <c r="Y22" s="3"/>
      <c r="Z22" s="3"/>
      <c r="AA22" s="3"/>
      <c r="AB22" s="3"/>
      <c r="AC22" s="3"/>
    </row>
    <row r="23" spans="1:29" x14ac:dyDescent="0.15">
      <c r="A23" s="3"/>
      <c r="B23" s="3"/>
      <c r="C23" s="32">
        <v>70</v>
      </c>
      <c r="D23" s="16">
        <f t="shared" si="0"/>
        <v>4.8798581644293648</v>
      </c>
      <c r="E23" s="3"/>
      <c r="N23" s="3"/>
      <c r="O23" s="3"/>
      <c r="P23" s="3"/>
      <c r="Q23" s="3"/>
      <c r="R23" s="3"/>
      <c r="S23" s="3"/>
      <c r="T23" s="3"/>
      <c r="U23" s="3"/>
      <c r="V23" s="3"/>
      <c r="W23" s="3"/>
      <c r="X23" s="3"/>
      <c r="Y23" s="3"/>
      <c r="Z23" s="3"/>
      <c r="AA23" s="3"/>
      <c r="AB23" s="3"/>
      <c r="AC23" s="3"/>
    </row>
    <row r="24" spans="1:29" x14ac:dyDescent="0.15">
      <c r="A24" s="3"/>
      <c r="B24" s="3"/>
      <c r="C24" s="32">
        <v>75</v>
      </c>
      <c r="D24" s="16">
        <f t="shared" si="0"/>
        <v>4.9994377810269857</v>
      </c>
      <c r="E24" s="3"/>
      <c r="N24" s="3"/>
      <c r="O24" s="3"/>
      <c r="P24" s="3"/>
      <c r="Q24" s="3"/>
      <c r="R24" s="3"/>
      <c r="S24" s="3"/>
      <c r="T24" s="3"/>
      <c r="U24" s="3"/>
      <c r="V24" s="3"/>
      <c r="W24" s="3"/>
      <c r="X24" s="3"/>
      <c r="Y24" s="3"/>
      <c r="Z24" s="3"/>
      <c r="AA24" s="3"/>
      <c r="AB24" s="3"/>
      <c r="AC24" s="3"/>
    </row>
    <row r="25" spans="1:29" x14ac:dyDescent="0.15">
      <c r="A25" s="3"/>
      <c r="B25" s="3"/>
      <c r="C25" s="32">
        <v>80</v>
      </c>
      <c r="D25" s="16">
        <f t="shared" si="0"/>
        <v>5.0835145896993552</v>
      </c>
      <c r="E25" s="3"/>
      <c r="N25" s="3"/>
      <c r="O25" s="3"/>
      <c r="P25" s="3"/>
      <c r="Q25" s="3"/>
      <c r="R25" s="3"/>
      <c r="S25" s="3"/>
      <c r="T25" s="3"/>
      <c r="U25" s="3"/>
      <c r="V25" s="3"/>
      <c r="W25" s="3"/>
      <c r="X25" s="3"/>
      <c r="Y25" s="3"/>
      <c r="Z25" s="3"/>
      <c r="AA25" s="3"/>
      <c r="AB25" s="3"/>
      <c r="AC25" s="3"/>
    </row>
    <row r="26" spans="1:29" x14ac:dyDescent="0.15">
      <c r="A26" s="3"/>
      <c r="B26" s="3"/>
      <c r="C26" s="32">
        <v>85</v>
      </c>
      <c r="D26" s="16">
        <f t="shared" si="0"/>
        <v>5.1334422601749914</v>
      </c>
      <c r="E26" s="3"/>
      <c r="N26" s="3"/>
      <c r="O26" s="3"/>
      <c r="P26" s="3"/>
      <c r="Q26" s="3"/>
      <c r="R26" s="3"/>
      <c r="S26" s="3"/>
      <c r="T26" s="3"/>
      <c r="U26" s="3"/>
      <c r="V26" s="3"/>
      <c r="W26" s="3"/>
      <c r="X26" s="3"/>
      <c r="Y26" s="3"/>
      <c r="Z26" s="3"/>
      <c r="AA26" s="3"/>
      <c r="AB26" s="3"/>
      <c r="AC26" s="3"/>
    </row>
    <row r="27" spans="1:29" x14ac:dyDescent="0.15">
      <c r="A27" s="3"/>
      <c r="B27" s="3"/>
      <c r="C27" s="32">
        <v>90</v>
      </c>
      <c r="D27" s="16">
        <f t="shared" si="0"/>
        <v>5.15</v>
      </c>
      <c r="E27" s="3"/>
      <c r="N27" s="3"/>
      <c r="O27" s="3"/>
      <c r="P27" s="3"/>
      <c r="Q27" s="3"/>
      <c r="R27" s="3"/>
      <c r="S27" s="3"/>
      <c r="T27" s="3"/>
      <c r="U27" s="3"/>
      <c r="V27" s="3"/>
      <c r="W27" s="3"/>
      <c r="X27" s="3"/>
      <c r="Y27" s="3"/>
      <c r="Z27" s="3"/>
      <c r="AA27" s="3"/>
      <c r="AB27" s="3"/>
      <c r="AC27" s="3"/>
    </row>
    <row r="28" spans="1:29" x14ac:dyDescent="0.15">
      <c r="A28" s="3"/>
      <c r="B28" s="3"/>
      <c r="C28" s="32">
        <v>92.5</v>
      </c>
      <c r="D28" s="16">
        <v>0</v>
      </c>
      <c r="E28" s="3"/>
      <c r="N28" s="3"/>
      <c r="O28" s="3"/>
      <c r="P28" s="3"/>
      <c r="Q28" s="3"/>
      <c r="R28" s="3"/>
      <c r="S28" s="3"/>
      <c r="T28" s="3"/>
      <c r="U28" s="3"/>
      <c r="V28" s="3"/>
      <c r="W28" s="3"/>
      <c r="X28" s="3"/>
      <c r="Y28" s="3"/>
      <c r="Z28" s="3"/>
      <c r="AA28" s="3"/>
      <c r="AB28" s="3"/>
      <c r="AC28" s="3"/>
    </row>
    <row r="29" spans="1:29" x14ac:dyDescent="0.15">
      <c r="A29" s="3"/>
      <c r="B29" s="3"/>
      <c r="C29" s="32">
        <v>95</v>
      </c>
      <c r="D29" s="16">
        <v>-20</v>
      </c>
      <c r="E29" s="3"/>
      <c r="N29" s="3"/>
      <c r="O29" s="3"/>
      <c r="P29" s="3"/>
      <c r="Q29" s="3"/>
      <c r="R29" s="3"/>
      <c r="S29" s="3"/>
      <c r="T29" s="3"/>
      <c r="U29" s="3"/>
      <c r="V29" s="3"/>
      <c r="W29" s="3"/>
      <c r="X29" s="3"/>
      <c r="Y29" s="3"/>
      <c r="Z29" s="3"/>
      <c r="AA29" s="3"/>
      <c r="AB29" s="3"/>
      <c r="AC29" s="3"/>
    </row>
    <row r="30" spans="1:29" x14ac:dyDescent="0.15">
      <c r="A30" s="3"/>
      <c r="B30" s="3"/>
      <c r="C30" s="32">
        <v>97.5</v>
      </c>
      <c r="D30" s="16">
        <v>-60</v>
      </c>
      <c r="E30" s="3"/>
      <c r="N30" s="3"/>
      <c r="O30" s="3"/>
      <c r="P30" s="3"/>
      <c r="Q30" s="3"/>
      <c r="R30" s="3"/>
      <c r="S30" s="3"/>
      <c r="T30" s="3"/>
      <c r="U30" s="3"/>
      <c r="V30" s="3"/>
      <c r="W30" s="3"/>
      <c r="X30" s="3"/>
      <c r="Y30" s="3"/>
      <c r="Z30" s="3"/>
      <c r="AA30" s="3"/>
      <c r="AB30" s="3"/>
      <c r="AC30" s="3"/>
    </row>
    <row r="31" spans="1:29" x14ac:dyDescent="0.15">
      <c r="A31" s="3"/>
      <c r="B31" s="3"/>
      <c r="C31" s="32">
        <v>100</v>
      </c>
      <c r="D31" s="16">
        <v>-160</v>
      </c>
      <c r="E31" s="3"/>
      <c r="N31" s="3"/>
      <c r="O31" s="3"/>
      <c r="P31" s="3"/>
      <c r="Q31" s="3"/>
      <c r="R31" s="3"/>
      <c r="S31" s="3"/>
      <c r="T31" s="3"/>
      <c r="U31" s="3"/>
      <c r="V31" s="3"/>
      <c r="W31" s="3"/>
      <c r="X31" s="3"/>
      <c r="Y31" s="3"/>
      <c r="Z31" s="3"/>
      <c r="AA31" s="3"/>
      <c r="AB31" s="3"/>
      <c r="AC31" s="3"/>
    </row>
    <row r="32" spans="1:29" x14ac:dyDescent="0.15">
      <c r="A32" s="3"/>
      <c r="B32" s="3"/>
      <c r="C32" s="32">
        <v>110</v>
      </c>
      <c r="D32" s="16" t="s">
        <v>1028</v>
      </c>
      <c r="E32" s="3"/>
      <c r="N32" s="3"/>
      <c r="O32" s="3"/>
      <c r="P32" s="3"/>
      <c r="Q32" s="3"/>
      <c r="R32" s="3"/>
      <c r="S32" s="3"/>
      <c r="T32" s="3"/>
      <c r="U32" s="3"/>
      <c r="V32" s="3"/>
      <c r="W32" s="3"/>
      <c r="X32" s="3"/>
      <c r="Y32" s="3"/>
      <c r="Z32" s="3"/>
      <c r="AA32" s="3"/>
      <c r="AB32" s="3"/>
      <c r="AC32" s="3"/>
    </row>
    <row r="33" spans="1:29" x14ac:dyDescent="0.15">
      <c r="A33" s="3"/>
      <c r="B33" s="3"/>
      <c r="C33" s="32"/>
      <c r="D33" s="16"/>
      <c r="E33" s="3"/>
      <c r="N33" s="3"/>
      <c r="O33" s="3"/>
      <c r="P33" s="3"/>
      <c r="Q33" s="3"/>
      <c r="R33" s="3"/>
      <c r="S33" s="3"/>
      <c r="T33" s="3"/>
      <c r="U33" s="3"/>
      <c r="V33" s="3"/>
      <c r="W33" s="3"/>
      <c r="X33" s="3"/>
      <c r="Y33" s="3"/>
      <c r="Z33" s="3"/>
      <c r="AA33" s="3"/>
      <c r="AB33" s="3"/>
      <c r="AC33" s="3"/>
    </row>
    <row r="34" spans="1:29" x14ac:dyDescent="0.15">
      <c r="A34" s="3"/>
      <c r="B34" s="3"/>
      <c r="C34" s="32"/>
      <c r="D34" s="16"/>
      <c r="E34" s="3"/>
      <c r="N34" s="3"/>
      <c r="O34" s="3"/>
      <c r="P34" s="3"/>
      <c r="Q34" s="3"/>
      <c r="R34" s="3"/>
      <c r="S34" s="3"/>
      <c r="T34" s="3"/>
      <c r="U34" s="3"/>
      <c r="V34" s="3"/>
      <c r="W34" s="3"/>
      <c r="X34" s="3"/>
      <c r="Y34" s="3"/>
      <c r="Z34" s="3"/>
      <c r="AA34" s="3"/>
      <c r="AB34" s="3"/>
      <c r="AC34" s="3"/>
    </row>
    <row r="35" spans="1:29" x14ac:dyDescent="0.15">
      <c r="A35" s="3"/>
      <c r="B35" s="3"/>
      <c r="C35" s="32"/>
      <c r="D35" s="16"/>
      <c r="E35" s="3"/>
      <c r="F35" s="3"/>
      <c r="G35" s="3"/>
      <c r="H35" s="3"/>
      <c r="I35" s="3"/>
      <c r="J35" s="3"/>
      <c r="K35" s="3"/>
      <c r="L35" s="3"/>
      <c r="M35" s="3"/>
      <c r="N35" s="3"/>
      <c r="O35" s="3"/>
      <c r="P35" s="3"/>
      <c r="Q35" s="3"/>
      <c r="R35" s="3"/>
      <c r="S35" s="3"/>
      <c r="T35" s="3"/>
      <c r="U35" s="3"/>
      <c r="V35" s="3"/>
      <c r="W35" s="3"/>
      <c r="X35" s="3"/>
      <c r="Y35" s="3"/>
      <c r="Z35" s="3"/>
      <c r="AA35" s="3"/>
      <c r="AB35" s="3"/>
      <c r="AC35" s="3"/>
    </row>
    <row r="36" spans="1:29" x14ac:dyDescent="0.15">
      <c r="A36" s="3"/>
      <c r="B36" s="3"/>
      <c r="C36" s="32"/>
      <c r="D36" s="16"/>
      <c r="E36" s="3"/>
      <c r="F36" s="3"/>
      <c r="G36" s="3"/>
      <c r="H36" s="3"/>
      <c r="I36" s="3"/>
      <c r="J36" s="3"/>
      <c r="K36" s="3"/>
      <c r="L36" s="4" t="s">
        <v>1029</v>
      </c>
      <c r="M36" s="4"/>
      <c r="N36" s="3"/>
      <c r="O36" s="3"/>
      <c r="P36" s="3"/>
      <c r="Q36" s="3"/>
      <c r="R36" s="3"/>
      <c r="S36" s="3"/>
      <c r="T36" s="3"/>
      <c r="U36" s="3"/>
      <c r="V36" s="3"/>
      <c r="W36" s="3"/>
      <c r="X36" s="3"/>
      <c r="Y36" s="3"/>
      <c r="Z36" s="3"/>
      <c r="AA36" s="3"/>
      <c r="AB36" s="3"/>
      <c r="AC36" s="3"/>
    </row>
    <row r="37" spans="1:29" x14ac:dyDescent="0.15">
      <c r="A37" s="3"/>
      <c r="B37" s="3"/>
      <c r="C37" s="32"/>
      <c r="D37" s="16"/>
      <c r="E37" s="3"/>
      <c r="F37" s="3"/>
      <c r="G37" s="3"/>
      <c r="H37" s="3"/>
      <c r="I37" s="3"/>
      <c r="J37" s="3"/>
      <c r="K37" s="3"/>
      <c r="L37" s="3"/>
      <c r="M37" s="3"/>
      <c r="N37" s="3"/>
      <c r="O37" s="3"/>
      <c r="P37" s="3"/>
      <c r="Q37" s="3"/>
      <c r="R37" s="3"/>
      <c r="S37" s="3"/>
      <c r="T37" s="3"/>
      <c r="U37" s="3"/>
      <c r="V37" s="3"/>
      <c r="W37" s="3"/>
      <c r="X37" s="3"/>
      <c r="Y37" s="3"/>
      <c r="Z37" s="3"/>
      <c r="AA37" s="3"/>
      <c r="AB37" s="3"/>
      <c r="AC37" s="3"/>
    </row>
    <row r="38" spans="1:29" x14ac:dyDescent="0.15">
      <c r="A38" s="3"/>
      <c r="B38" s="3"/>
      <c r="C38" s="32"/>
      <c r="D38" s="16"/>
      <c r="E38" s="3"/>
      <c r="F38" s="3" t="s">
        <v>766</v>
      </c>
      <c r="G38" s="3"/>
      <c r="H38" s="3">
        <v>5.15</v>
      </c>
      <c r="I38" s="3" t="s">
        <v>762</v>
      </c>
      <c r="J38" s="3"/>
      <c r="K38" s="3"/>
      <c r="L38" s="3"/>
      <c r="M38" s="3"/>
      <c r="N38" s="3"/>
      <c r="O38" s="3"/>
      <c r="P38" s="3"/>
      <c r="Q38" s="3"/>
      <c r="R38" s="3"/>
      <c r="S38" s="3"/>
      <c r="T38" s="3"/>
      <c r="U38" s="3"/>
      <c r="V38" s="3"/>
      <c r="W38" s="3"/>
      <c r="X38" s="3"/>
      <c r="Y38" s="3"/>
      <c r="Z38" s="3"/>
      <c r="AA38" s="3"/>
      <c r="AB38" s="3"/>
      <c r="AC38" s="3"/>
    </row>
    <row r="39" spans="1:29" x14ac:dyDescent="0.15">
      <c r="A39" s="3"/>
      <c r="B39" s="3"/>
      <c r="C39" s="32"/>
      <c r="D39" s="16"/>
      <c r="E39" s="3"/>
      <c r="F39" s="3"/>
      <c r="G39" s="3"/>
      <c r="H39" s="3"/>
      <c r="I39" s="3"/>
      <c r="J39" s="3"/>
      <c r="K39" s="3"/>
      <c r="L39" s="3"/>
      <c r="M39" s="3"/>
      <c r="N39" s="3"/>
      <c r="O39" s="3"/>
      <c r="P39" s="3"/>
      <c r="Q39" s="3"/>
      <c r="R39" s="3"/>
      <c r="S39" s="3"/>
      <c r="T39" s="3"/>
      <c r="U39" s="3"/>
      <c r="V39" s="3"/>
      <c r="W39" s="3"/>
      <c r="X39" s="3"/>
      <c r="Y39" s="3"/>
      <c r="Z39" s="3"/>
      <c r="AA39" s="3"/>
      <c r="AB39" s="3"/>
      <c r="AC39" s="3"/>
    </row>
    <row r="40" spans="1:29" x14ac:dyDescent="0.15">
      <c r="A40" s="3"/>
      <c r="B40" s="3"/>
      <c r="C40" s="32"/>
      <c r="D40" s="16"/>
      <c r="E40" s="3"/>
      <c r="F40" s="3" t="s">
        <v>787</v>
      </c>
      <c r="G40" s="3"/>
      <c r="H40" s="3">
        <v>38.6</v>
      </c>
      <c r="I40" s="3" t="s">
        <v>521</v>
      </c>
      <c r="J40" s="3" t="s">
        <v>110</v>
      </c>
      <c r="K40" s="3"/>
      <c r="L40" s="3"/>
      <c r="M40" s="3"/>
      <c r="N40" s="3"/>
      <c r="O40" s="3"/>
      <c r="P40" s="3"/>
      <c r="Q40" s="3"/>
      <c r="R40" s="3"/>
      <c r="S40" s="3"/>
      <c r="T40" s="3"/>
      <c r="U40" s="3"/>
      <c r="V40" s="3"/>
      <c r="W40" s="3"/>
      <c r="X40" s="3"/>
      <c r="Y40" s="3"/>
      <c r="Z40" s="3"/>
      <c r="AA40" s="3"/>
      <c r="AB40" s="3"/>
      <c r="AC40" s="3"/>
    </row>
    <row r="41" spans="1:29" x14ac:dyDescent="0.15">
      <c r="A41" s="3"/>
      <c r="B41" s="3"/>
      <c r="C41" s="32"/>
      <c r="D41" s="16"/>
      <c r="E41" s="3"/>
      <c r="F41" s="3"/>
      <c r="G41" s="3"/>
      <c r="H41" s="3"/>
      <c r="I41" s="3"/>
      <c r="J41" s="3"/>
      <c r="K41" s="3"/>
      <c r="L41" s="3"/>
      <c r="M41" s="3"/>
      <c r="N41" s="3"/>
      <c r="O41" s="3"/>
      <c r="P41" s="3"/>
      <c r="Q41" s="3"/>
      <c r="R41" s="3"/>
      <c r="S41" s="3"/>
      <c r="T41" s="3"/>
      <c r="U41" s="3"/>
      <c r="V41" s="3"/>
      <c r="W41" s="3"/>
      <c r="X41" s="3"/>
      <c r="Y41" s="3"/>
      <c r="Z41" s="3"/>
      <c r="AA41" s="3"/>
      <c r="AB41" s="3"/>
      <c r="AC41" s="3"/>
    </row>
    <row r="42" spans="1:29" x14ac:dyDescent="0.15">
      <c r="A42" s="3"/>
      <c r="B42" s="3"/>
      <c r="C42" s="32"/>
      <c r="D42" s="16"/>
      <c r="E42" s="3"/>
      <c r="F42" s="3" t="s">
        <v>108</v>
      </c>
      <c r="G42" s="3"/>
      <c r="H42" s="553">
        <v>0</v>
      </c>
      <c r="I42" s="3" t="s">
        <v>521</v>
      </c>
      <c r="J42" s="3" t="s">
        <v>109</v>
      </c>
      <c r="K42" s="3"/>
      <c r="L42" s="3"/>
      <c r="M42" s="3"/>
      <c r="N42" s="3"/>
      <c r="O42" s="3"/>
      <c r="P42" s="3"/>
      <c r="Q42" s="3"/>
      <c r="R42" s="3"/>
      <c r="S42" s="3"/>
      <c r="T42" s="3"/>
      <c r="U42" s="3"/>
      <c r="V42" s="3"/>
      <c r="W42" s="3"/>
      <c r="X42" s="3"/>
      <c r="Y42" s="3"/>
      <c r="Z42" s="3"/>
      <c r="AA42" s="3"/>
      <c r="AB42" s="3"/>
      <c r="AC42" s="3"/>
    </row>
    <row r="43" spans="1:29" x14ac:dyDescent="0.15">
      <c r="A43" s="3"/>
      <c r="B43" s="3"/>
      <c r="C43" s="32"/>
      <c r="D43" s="16"/>
      <c r="E43" s="3"/>
      <c r="F43" s="3"/>
      <c r="G43" s="3"/>
      <c r="H43" s="3"/>
      <c r="I43" s="3"/>
      <c r="J43" s="3"/>
      <c r="K43" s="3"/>
      <c r="L43" s="3"/>
      <c r="M43" s="3"/>
      <c r="N43" s="3"/>
      <c r="O43" s="3"/>
      <c r="P43" s="3"/>
      <c r="Q43" s="3"/>
      <c r="R43" s="3"/>
      <c r="S43" s="3"/>
      <c r="T43" s="3"/>
      <c r="U43" s="3"/>
      <c r="V43" s="3"/>
      <c r="W43" s="3"/>
      <c r="X43" s="3"/>
      <c r="Y43" s="3"/>
      <c r="Z43" s="3"/>
      <c r="AA43" s="3"/>
      <c r="AB43" s="3"/>
      <c r="AC43" s="3"/>
    </row>
    <row r="44" spans="1:29" x14ac:dyDescent="0.15">
      <c r="A44" s="3"/>
      <c r="B44" s="3"/>
      <c r="C44" s="32" t="s">
        <v>512</v>
      </c>
      <c r="D44" s="34" t="s">
        <v>512</v>
      </c>
      <c r="E44" s="3"/>
      <c r="F44" s="3" t="s">
        <v>111</v>
      </c>
      <c r="G44" s="3"/>
      <c r="H44" s="3">
        <v>5.15</v>
      </c>
      <c r="I44" s="3" t="s">
        <v>762</v>
      </c>
      <c r="J44" s="3" t="s">
        <v>112</v>
      </c>
      <c r="K44" s="3"/>
      <c r="L44" s="3"/>
      <c r="M44" s="3"/>
      <c r="N44" s="3"/>
      <c r="O44" s="3"/>
      <c r="P44" s="3"/>
      <c r="Q44" s="3"/>
      <c r="R44" s="3"/>
      <c r="S44" s="3"/>
      <c r="T44" s="3"/>
      <c r="U44" s="3"/>
      <c r="V44" s="3"/>
      <c r="W44" s="3"/>
      <c r="X44" s="3"/>
      <c r="Y44" s="3"/>
      <c r="Z44" s="3"/>
      <c r="AA44" s="3"/>
      <c r="AB44" s="3"/>
      <c r="AC44" s="3"/>
    </row>
    <row r="45" spans="1:29" x14ac:dyDescent="0.15">
      <c r="A45" s="3"/>
      <c r="B45" s="3"/>
      <c r="C45" s="3"/>
      <c r="D45" s="32"/>
      <c r="E45" s="3"/>
      <c r="F45" s="3"/>
      <c r="G45" s="3"/>
      <c r="H45" s="3"/>
      <c r="I45" s="3"/>
      <c r="J45" s="3"/>
      <c r="K45" s="3"/>
      <c r="L45" s="3"/>
      <c r="M45" s="3"/>
      <c r="N45" s="3"/>
      <c r="O45" s="3"/>
      <c r="P45" s="3"/>
      <c r="Q45" s="3"/>
      <c r="R45" s="3"/>
      <c r="S45" s="3"/>
      <c r="T45" s="3"/>
      <c r="U45" s="3"/>
      <c r="V45" s="3"/>
      <c r="W45" s="3"/>
      <c r="X45" s="3"/>
      <c r="Y45" s="3"/>
      <c r="Z45" s="3"/>
      <c r="AA45" s="3"/>
      <c r="AB45" s="3"/>
      <c r="AC45" s="3"/>
    </row>
    <row r="46" spans="1:29" x14ac:dyDescent="0.15">
      <c r="A46" s="3"/>
      <c r="B46" s="32" t="s">
        <v>512</v>
      </c>
      <c r="C46" s="3"/>
      <c r="D46" s="3"/>
      <c r="E46" s="3"/>
      <c r="F46" s="3" t="s">
        <v>113</v>
      </c>
      <c r="G46" s="3"/>
      <c r="H46" s="553">
        <v>0</v>
      </c>
      <c r="I46" s="3" t="s">
        <v>521</v>
      </c>
      <c r="J46" s="3"/>
      <c r="K46" s="3"/>
      <c r="L46" s="3"/>
      <c r="M46" s="3"/>
      <c r="N46" s="3"/>
      <c r="O46" s="3"/>
      <c r="P46" s="3"/>
      <c r="Q46" s="3"/>
      <c r="R46" s="3"/>
      <c r="S46" s="3"/>
      <c r="T46" s="3"/>
      <c r="U46" s="3"/>
      <c r="V46" s="3"/>
      <c r="W46" s="3"/>
      <c r="X46" s="3"/>
      <c r="Y46" s="3"/>
      <c r="Z46" s="3"/>
      <c r="AA46" s="3"/>
      <c r="AB46" s="3"/>
      <c r="AC46" s="3"/>
    </row>
    <row r="47" spans="1:29" x14ac:dyDescent="0.15">
      <c r="A47" s="3"/>
      <c r="B47" s="32"/>
      <c r="C47" s="3"/>
      <c r="D47" s="3"/>
      <c r="E47" s="3"/>
      <c r="F47" s="3" t="s">
        <v>512</v>
      </c>
      <c r="G47" s="3"/>
      <c r="H47" s="553"/>
      <c r="I47" s="3"/>
      <c r="J47" s="3"/>
      <c r="K47" s="3"/>
      <c r="L47" s="3"/>
      <c r="M47" s="3"/>
      <c r="N47" s="3"/>
      <c r="O47" s="3"/>
      <c r="P47" s="3"/>
      <c r="Q47" s="3"/>
      <c r="R47" s="3"/>
      <c r="S47" s="3"/>
      <c r="T47" s="3"/>
      <c r="U47" s="3"/>
      <c r="V47" s="3"/>
      <c r="W47" s="3"/>
      <c r="X47" s="3"/>
      <c r="Y47" s="3"/>
      <c r="Z47" s="3"/>
      <c r="AA47" s="3"/>
      <c r="AB47" s="3"/>
      <c r="AC47" s="3"/>
    </row>
    <row r="48" spans="1:29" x14ac:dyDescent="0.15">
      <c r="A48" s="3"/>
      <c r="B48" s="32"/>
      <c r="C48" s="3"/>
      <c r="D48" s="3"/>
      <c r="E48" s="3"/>
      <c r="F48" s="3"/>
      <c r="G48" s="3"/>
      <c r="H48" s="553"/>
      <c r="I48" s="3"/>
      <c r="J48" s="3"/>
      <c r="K48" s="3"/>
      <c r="L48" s="3"/>
      <c r="M48" s="3"/>
      <c r="N48" s="3"/>
      <c r="O48" s="3"/>
      <c r="P48" s="3"/>
      <c r="Q48" s="3"/>
      <c r="R48" s="3"/>
      <c r="S48" s="3"/>
      <c r="T48" s="3"/>
      <c r="U48" s="3"/>
      <c r="V48" s="3"/>
      <c r="W48" s="3"/>
      <c r="X48" s="3"/>
      <c r="Y48" s="3"/>
      <c r="Z48" s="3"/>
      <c r="AA48" s="3"/>
      <c r="AB48" s="3"/>
      <c r="AC48" s="3"/>
    </row>
    <row r="49" spans="1:29" x14ac:dyDescent="0.15">
      <c r="A49" s="3"/>
      <c r="B49" s="604" t="s">
        <v>358</v>
      </c>
      <c r="C49" s="452" t="s">
        <v>881</v>
      </c>
      <c r="D49" s="608" t="s">
        <v>883</v>
      </c>
      <c r="E49" s="380"/>
      <c r="F49" t="s">
        <v>512</v>
      </c>
      <c r="P49" s="3"/>
      <c r="Q49" s="3"/>
      <c r="R49" s="3"/>
      <c r="S49" s="3"/>
      <c r="T49" s="3"/>
      <c r="U49" s="3"/>
      <c r="V49" s="3"/>
      <c r="W49" s="3"/>
      <c r="X49" s="3"/>
      <c r="Y49" s="3"/>
      <c r="Z49" s="3"/>
      <c r="AA49" s="3"/>
      <c r="AB49" s="3"/>
      <c r="AC49" s="3"/>
    </row>
    <row r="50" spans="1:29" x14ac:dyDescent="0.15">
      <c r="A50" s="3"/>
      <c r="B50" s="3"/>
      <c r="C50" s="32">
        <v>0</v>
      </c>
      <c r="D50" s="16">
        <f>2.15+10*LOG10(COS(RADIANS(C50)))</f>
        <v>2.15</v>
      </c>
      <c r="E50" s="3"/>
      <c r="P50" s="3"/>
      <c r="Q50" s="3"/>
      <c r="R50" s="3"/>
      <c r="S50" s="3"/>
      <c r="T50" s="3"/>
      <c r="U50" s="3"/>
      <c r="V50" s="3"/>
      <c r="W50" s="3"/>
      <c r="X50" s="3"/>
      <c r="Y50" s="3"/>
      <c r="Z50" s="3"/>
      <c r="AA50" s="3"/>
      <c r="AB50" s="3"/>
      <c r="AC50" s="3"/>
    </row>
    <row r="51" spans="1:29" x14ac:dyDescent="0.15">
      <c r="A51" s="3"/>
      <c r="B51" s="3"/>
      <c r="C51" s="32">
        <f>C50+10</f>
        <v>10</v>
      </c>
      <c r="D51" s="16">
        <f t="shared" ref="D51:D60" si="1">2.15+10*LOG10(COS(RADIANS(C51)))</f>
        <v>2.0835145896993548</v>
      </c>
      <c r="E51" s="3"/>
      <c r="P51" s="3"/>
      <c r="Q51" s="3"/>
      <c r="R51" s="3"/>
      <c r="S51" s="3"/>
      <c r="T51" s="3"/>
      <c r="U51" s="3"/>
      <c r="V51" s="3"/>
      <c r="W51" s="3"/>
      <c r="X51" s="3"/>
      <c r="Y51" s="3"/>
      <c r="Z51" s="3"/>
      <c r="AA51" s="3"/>
      <c r="AB51" s="3"/>
      <c r="AC51" s="3"/>
    </row>
    <row r="52" spans="1:29" x14ac:dyDescent="0.15">
      <c r="A52" s="3"/>
      <c r="B52" s="3"/>
      <c r="C52" s="32">
        <f t="shared" ref="C52:C94" si="2">C51+10</f>
        <v>20</v>
      </c>
      <c r="D52" s="16">
        <f t="shared" si="1"/>
        <v>1.8798581644293648</v>
      </c>
      <c r="E52" s="3"/>
      <c r="P52" s="3"/>
      <c r="Q52" s="3"/>
      <c r="R52" s="3"/>
      <c r="S52" s="3"/>
      <c r="T52" s="3"/>
      <c r="U52" s="3"/>
      <c r="V52" s="3"/>
      <c r="W52" s="3"/>
      <c r="X52" s="3"/>
      <c r="Y52" s="3"/>
      <c r="Z52" s="3"/>
      <c r="AA52" s="3"/>
      <c r="AB52" s="3"/>
      <c r="AC52" s="3"/>
    </row>
    <row r="53" spans="1:29" x14ac:dyDescent="0.15">
      <c r="A53" s="3"/>
      <c r="B53" s="3"/>
      <c r="C53" s="32">
        <f t="shared" si="2"/>
        <v>30</v>
      </c>
      <c r="D53" s="16">
        <f t="shared" si="1"/>
        <v>1.5253063169585004</v>
      </c>
      <c r="E53" s="3"/>
      <c r="P53" s="3"/>
      <c r="Q53" s="3"/>
      <c r="R53" s="3"/>
      <c r="S53" s="3"/>
      <c r="T53" s="3"/>
      <c r="U53" s="3"/>
      <c r="V53" s="3"/>
      <c r="W53" s="3"/>
      <c r="X53" s="3"/>
      <c r="Y53" s="3"/>
      <c r="Z53" s="3"/>
      <c r="AA53" s="3"/>
      <c r="AB53" s="3"/>
      <c r="AC53" s="3"/>
    </row>
    <row r="54" spans="1:29" x14ac:dyDescent="0.15">
      <c r="A54" s="3"/>
      <c r="B54" s="3"/>
      <c r="C54" s="32">
        <f t="shared" si="2"/>
        <v>40</v>
      </c>
      <c r="D54" s="16">
        <f t="shared" si="1"/>
        <v>0.99253966553519413</v>
      </c>
      <c r="E54" s="3"/>
      <c r="P54" s="3"/>
      <c r="Q54" s="3"/>
      <c r="R54" s="3"/>
      <c r="S54" s="3"/>
      <c r="T54" s="3"/>
      <c r="U54" s="3"/>
      <c r="V54" s="3"/>
      <c r="W54" s="3"/>
      <c r="X54" s="3"/>
      <c r="Y54" s="3"/>
      <c r="Z54" s="3"/>
      <c r="AA54" s="3"/>
      <c r="AB54" s="3"/>
      <c r="AC54" s="3"/>
    </row>
    <row r="55" spans="1:29" x14ac:dyDescent="0.15">
      <c r="A55" s="3"/>
      <c r="B55" s="3" t="s">
        <v>512</v>
      </c>
      <c r="C55" s="32">
        <f t="shared" si="2"/>
        <v>50</v>
      </c>
      <c r="D55" s="16">
        <f t="shared" si="1"/>
        <v>0.23067496752434913</v>
      </c>
      <c r="E55" s="3"/>
      <c r="P55" s="3"/>
      <c r="Q55" s="3"/>
      <c r="R55" s="3"/>
      <c r="S55" s="3"/>
      <c r="T55" s="3"/>
      <c r="U55" s="3"/>
      <c r="V55" s="3"/>
      <c r="W55" s="3"/>
      <c r="X55" s="3"/>
      <c r="Y55" s="3"/>
      <c r="Z55" s="3"/>
      <c r="AA55" s="3"/>
      <c r="AB55" s="3"/>
      <c r="AC55" s="3"/>
    </row>
    <row r="56" spans="1:29" x14ac:dyDescent="0.15">
      <c r="A56" s="3"/>
      <c r="B56" s="3"/>
      <c r="C56" s="32">
        <f t="shared" si="2"/>
        <v>60</v>
      </c>
      <c r="D56" s="16">
        <f t="shared" si="1"/>
        <v>-0.86029995663981085</v>
      </c>
      <c r="E56" s="3"/>
      <c r="P56" s="3"/>
      <c r="Q56" s="3"/>
      <c r="R56" s="3"/>
      <c r="S56" s="3"/>
      <c r="T56" s="3"/>
      <c r="U56" s="3"/>
      <c r="V56" s="3"/>
      <c r="W56" s="3"/>
      <c r="X56" s="3"/>
      <c r="Y56" s="3"/>
      <c r="Z56" s="3"/>
      <c r="AA56" s="3"/>
      <c r="AB56" s="3"/>
      <c r="AC56" s="3"/>
    </row>
    <row r="57" spans="1:29" x14ac:dyDescent="0.15">
      <c r="A57" s="3"/>
      <c r="B57" s="3"/>
      <c r="C57" s="32">
        <f t="shared" si="2"/>
        <v>70</v>
      </c>
      <c r="D57" s="16">
        <f t="shared" si="1"/>
        <v>-2.5094831535448265</v>
      </c>
      <c r="E57" s="3"/>
      <c r="P57" s="3"/>
      <c r="Q57" s="3"/>
      <c r="R57" s="3"/>
      <c r="S57" s="3"/>
      <c r="T57" s="3"/>
      <c r="U57" s="3"/>
      <c r="V57" s="3"/>
      <c r="W57" s="3"/>
      <c r="X57" s="3"/>
      <c r="Y57" s="3"/>
      <c r="Z57" s="3"/>
      <c r="AA57" s="3"/>
      <c r="AB57" s="3"/>
      <c r="AC57" s="3"/>
    </row>
    <row r="58" spans="1:29" x14ac:dyDescent="0.15">
      <c r="A58" s="3"/>
      <c r="B58" s="3"/>
      <c r="C58" s="32">
        <f t="shared" si="2"/>
        <v>80</v>
      </c>
      <c r="D58" s="16">
        <f t="shared" si="1"/>
        <v>-5.4532976998839935</v>
      </c>
      <c r="E58" s="3" t="s">
        <v>512</v>
      </c>
      <c r="P58" s="3"/>
      <c r="Q58" s="3"/>
      <c r="R58" s="3"/>
      <c r="S58" s="3"/>
      <c r="T58" s="3"/>
      <c r="U58" s="3"/>
      <c r="V58" s="3"/>
      <c r="W58" s="3"/>
      <c r="X58" s="3"/>
      <c r="Y58" s="3"/>
      <c r="Z58" s="3"/>
      <c r="AA58" s="3"/>
      <c r="AB58" s="3"/>
      <c r="AC58" s="3"/>
    </row>
    <row r="59" spans="1:29" x14ac:dyDescent="0.15">
      <c r="A59" s="3"/>
      <c r="B59" s="3"/>
      <c r="C59" s="32">
        <v>85</v>
      </c>
      <c r="D59" s="16">
        <f t="shared" si="1"/>
        <v>-8.4470399166987971</v>
      </c>
      <c r="E59" s="3"/>
      <c r="P59" s="3"/>
      <c r="Q59" s="3"/>
      <c r="R59" s="3"/>
      <c r="S59" s="3"/>
      <c r="T59" s="3"/>
      <c r="U59" s="3"/>
      <c r="V59" s="3"/>
      <c r="W59" s="3"/>
      <c r="X59" s="3"/>
      <c r="Y59" s="3"/>
      <c r="Z59" s="3"/>
      <c r="AA59" s="3"/>
      <c r="AB59" s="3"/>
      <c r="AC59" s="3"/>
    </row>
    <row r="60" spans="1:29" x14ac:dyDescent="0.15">
      <c r="A60" s="3"/>
      <c r="B60" s="3"/>
      <c r="C60" s="32">
        <v>87.5</v>
      </c>
      <c r="D60" s="16">
        <f t="shared" si="1"/>
        <v>-11.453204383841507</v>
      </c>
      <c r="E60" s="3"/>
      <c r="P60" s="3"/>
      <c r="Q60" s="3"/>
      <c r="R60" s="3"/>
      <c r="S60" s="3"/>
      <c r="T60" s="3"/>
      <c r="U60" s="3"/>
      <c r="V60" s="3"/>
      <c r="W60" s="3"/>
      <c r="X60" s="3"/>
      <c r="Y60" s="3"/>
      <c r="Z60" s="3"/>
      <c r="AA60" s="3"/>
      <c r="AB60" s="3"/>
      <c r="AC60" s="3"/>
    </row>
    <row r="61" spans="1:29" x14ac:dyDescent="0.15">
      <c r="A61" s="3"/>
      <c r="B61" s="3"/>
      <c r="C61" s="32">
        <f>C58+10</f>
        <v>90</v>
      </c>
      <c r="D61" s="16">
        <v>-40</v>
      </c>
      <c r="E61" s="3"/>
      <c r="P61" s="3"/>
      <c r="Q61" s="3"/>
      <c r="R61" s="3"/>
      <c r="S61" s="3"/>
      <c r="T61" s="3"/>
      <c r="U61" s="3"/>
      <c r="V61" s="3"/>
      <c r="W61" s="3"/>
      <c r="X61" s="3"/>
      <c r="Y61" s="3"/>
      <c r="Z61" s="3"/>
      <c r="AA61" s="3"/>
      <c r="AB61" s="3"/>
      <c r="AC61" s="3"/>
    </row>
    <row r="62" spans="1:29" x14ac:dyDescent="0.15">
      <c r="A62" s="3"/>
      <c r="B62" s="3"/>
      <c r="C62" s="32">
        <v>92.5</v>
      </c>
      <c r="D62" s="16">
        <f>2.15+10*LOG10(-COS(RADIANS(C62)))</f>
        <v>-11.453204383841518</v>
      </c>
      <c r="E62" s="3"/>
      <c r="P62" s="3"/>
      <c r="Q62" s="3"/>
      <c r="R62" s="3"/>
      <c r="S62" s="3"/>
      <c r="T62" s="3"/>
      <c r="U62" s="3"/>
      <c r="V62" s="3"/>
      <c r="W62" s="3"/>
      <c r="X62" s="3"/>
      <c r="Y62" s="3"/>
      <c r="Z62" s="3"/>
      <c r="AA62" s="3"/>
      <c r="AB62" s="3"/>
      <c r="AC62" s="3"/>
    </row>
    <row r="63" spans="1:29" x14ac:dyDescent="0.15">
      <c r="A63" s="3"/>
      <c r="B63" s="3"/>
      <c r="C63" s="32">
        <v>95</v>
      </c>
      <c r="D63" s="16">
        <f>2.15+10*LOG10(-COS(RADIANS(C63)))</f>
        <v>-8.4470399166987935</v>
      </c>
      <c r="E63" s="3" t="s">
        <v>512</v>
      </c>
      <c r="P63" s="3"/>
      <c r="Q63" s="3"/>
      <c r="R63" s="3"/>
      <c r="S63" s="3"/>
      <c r="T63" s="3"/>
      <c r="U63" s="3"/>
      <c r="V63" s="3"/>
      <c r="W63" s="3"/>
      <c r="X63" s="3"/>
      <c r="Y63" s="3"/>
      <c r="Z63" s="3"/>
      <c r="AA63" s="3"/>
      <c r="AB63" s="3"/>
      <c r="AC63" s="3"/>
    </row>
    <row r="64" spans="1:29" x14ac:dyDescent="0.15">
      <c r="A64" s="3"/>
      <c r="B64" s="3"/>
      <c r="C64" s="32">
        <f>C61+10</f>
        <v>100</v>
      </c>
      <c r="D64" s="16">
        <f>2.15+10*LOG10(-COS(RADIANS(C64)))</f>
        <v>-5.453297699883997</v>
      </c>
      <c r="E64" s="3"/>
      <c r="P64" s="3"/>
      <c r="Q64" s="3"/>
      <c r="R64" s="3"/>
      <c r="S64" s="3"/>
      <c r="T64" s="3"/>
      <c r="U64" s="3"/>
      <c r="V64" s="3"/>
      <c r="W64" s="3"/>
      <c r="X64" s="3"/>
      <c r="Y64" s="3"/>
      <c r="Z64" s="3"/>
      <c r="AA64" s="3"/>
      <c r="AB64" s="3"/>
      <c r="AC64" s="3"/>
    </row>
    <row r="65" spans="1:29" x14ac:dyDescent="0.15">
      <c r="A65" s="3"/>
      <c r="B65" s="3"/>
      <c r="C65" s="32">
        <f t="shared" si="2"/>
        <v>110</v>
      </c>
      <c r="D65" s="16">
        <f t="shared" ref="D65:D82" si="3">2.15+10*LOG10(-COS(RADIANS(C65)))</f>
        <v>-2.5094831535448283</v>
      </c>
      <c r="E65" s="3"/>
      <c r="P65" s="3"/>
      <c r="Q65" s="3"/>
      <c r="R65" s="3"/>
      <c r="S65" s="3"/>
      <c r="T65" s="3"/>
      <c r="U65" s="3"/>
      <c r="V65" s="3"/>
      <c r="W65" s="3"/>
      <c r="X65" s="3"/>
      <c r="Y65" s="3"/>
      <c r="Z65" s="3"/>
      <c r="AA65" s="3"/>
      <c r="AB65" s="3"/>
      <c r="AC65" s="3"/>
    </row>
    <row r="66" spans="1:29" x14ac:dyDescent="0.15">
      <c r="A66" s="3"/>
      <c r="B66" s="3"/>
      <c r="C66" s="32">
        <f t="shared" si="2"/>
        <v>120</v>
      </c>
      <c r="D66" s="16">
        <f t="shared" si="3"/>
        <v>-0.86029995663981351</v>
      </c>
      <c r="E66" s="3"/>
      <c r="P66" s="3"/>
      <c r="Q66" s="3"/>
      <c r="R66" s="3"/>
      <c r="S66" s="3"/>
      <c r="T66" s="3"/>
      <c r="U66" s="3"/>
      <c r="V66" s="3"/>
      <c r="W66" s="3"/>
      <c r="X66" s="3"/>
      <c r="Y66" s="3"/>
      <c r="Z66" s="3"/>
      <c r="AA66" s="3"/>
      <c r="AB66" s="3"/>
      <c r="AC66" s="3"/>
    </row>
    <row r="67" spans="1:29" x14ac:dyDescent="0.15">
      <c r="A67" s="3"/>
      <c r="B67" s="3"/>
      <c r="C67" s="32">
        <f t="shared" si="2"/>
        <v>130</v>
      </c>
      <c r="D67" s="16">
        <f t="shared" si="3"/>
        <v>0.23067496752434913</v>
      </c>
      <c r="E67" s="3"/>
      <c r="P67" s="3"/>
      <c r="Q67" s="3"/>
      <c r="R67" s="3"/>
      <c r="S67" s="3"/>
      <c r="T67" s="3"/>
      <c r="U67" s="3"/>
      <c r="V67" s="3"/>
      <c r="W67" s="3"/>
      <c r="X67" s="3"/>
      <c r="Y67" s="3"/>
      <c r="Z67" s="3"/>
      <c r="AA67" s="3"/>
      <c r="AB67" s="3"/>
      <c r="AC67" s="3"/>
    </row>
    <row r="68" spans="1:29" x14ac:dyDescent="0.15">
      <c r="A68" s="3"/>
      <c r="B68" s="3"/>
      <c r="C68" s="32">
        <f t="shared" si="2"/>
        <v>140</v>
      </c>
      <c r="D68" s="16">
        <f t="shared" si="3"/>
        <v>0.99253966553519346</v>
      </c>
      <c r="E68" s="3"/>
      <c r="P68" s="3"/>
      <c r="Q68" s="3"/>
      <c r="R68" s="3"/>
      <c r="S68" s="3"/>
      <c r="T68" s="3"/>
      <c r="U68" s="3"/>
      <c r="V68" s="3"/>
      <c r="W68" s="3"/>
      <c r="X68" s="3"/>
      <c r="Y68" s="3"/>
      <c r="Z68" s="3"/>
      <c r="AA68" s="3"/>
      <c r="AB68" s="3"/>
      <c r="AC68" s="3"/>
    </row>
    <row r="69" spans="1:29" x14ac:dyDescent="0.15">
      <c r="A69" s="3"/>
      <c r="B69" s="3"/>
      <c r="C69" s="32">
        <f t="shared" si="2"/>
        <v>150</v>
      </c>
      <c r="D69" s="16">
        <f t="shared" si="3"/>
        <v>1.5253063169585004</v>
      </c>
      <c r="E69" s="3"/>
      <c r="P69" s="3"/>
      <c r="Q69" s="3"/>
      <c r="R69" s="3"/>
      <c r="S69" s="3"/>
      <c r="T69" s="3"/>
      <c r="U69" s="3"/>
      <c r="V69" s="3"/>
      <c r="W69" s="3"/>
      <c r="X69" s="3"/>
      <c r="Y69" s="3"/>
      <c r="Z69" s="3"/>
      <c r="AA69" s="3"/>
      <c r="AB69" s="3"/>
      <c r="AC69" s="3"/>
    </row>
    <row r="70" spans="1:29" x14ac:dyDescent="0.15">
      <c r="A70" s="3"/>
      <c r="B70" s="3"/>
      <c r="C70" s="32">
        <f t="shared" si="2"/>
        <v>160</v>
      </c>
      <c r="D70" s="16">
        <f t="shared" si="3"/>
        <v>1.8798581644293644</v>
      </c>
      <c r="E70" s="3"/>
      <c r="P70" s="3"/>
      <c r="Q70" s="3"/>
      <c r="R70" s="3"/>
      <c r="S70" s="3"/>
      <c r="T70" s="3"/>
      <c r="U70" s="3"/>
      <c r="V70" s="3"/>
      <c r="W70" s="3"/>
      <c r="X70" s="3"/>
      <c r="Y70" s="3"/>
      <c r="Z70" s="3"/>
      <c r="AA70" s="3"/>
      <c r="AB70" s="3"/>
      <c r="AC70" s="3"/>
    </row>
    <row r="71" spans="1:29" x14ac:dyDescent="0.15">
      <c r="A71" s="3"/>
      <c r="B71" s="3"/>
      <c r="C71" s="32">
        <f t="shared" si="2"/>
        <v>170</v>
      </c>
      <c r="D71" s="16">
        <f t="shared" si="3"/>
        <v>2.0835145896993548</v>
      </c>
      <c r="E71" s="3"/>
      <c r="P71" s="3"/>
      <c r="Q71" s="3"/>
      <c r="R71" s="3"/>
      <c r="S71" s="3"/>
      <c r="T71" s="3"/>
      <c r="U71" s="3"/>
      <c r="V71" s="3"/>
      <c r="W71" s="3"/>
      <c r="X71" s="3"/>
      <c r="Y71" s="3"/>
      <c r="Z71" s="3"/>
      <c r="AA71" s="3"/>
      <c r="AB71" s="3"/>
      <c r="AC71" s="3"/>
    </row>
    <row r="72" spans="1:29" x14ac:dyDescent="0.15">
      <c r="A72" s="3"/>
      <c r="B72" s="3"/>
      <c r="C72" s="32">
        <f t="shared" si="2"/>
        <v>180</v>
      </c>
      <c r="D72" s="16">
        <f t="shared" si="3"/>
        <v>2.15</v>
      </c>
      <c r="E72" s="3"/>
      <c r="P72" s="3"/>
      <c r="Q72" s="3"/>
      <c r="R72" s="3"/>
      <c r="S72" s="3"/>
      <c r="T72" s="3"/>
      <c r="U72" s="3"/>
      <c r="V72" s="3"/>
      <c r="W72" s="3"/>
      <c r="X72" s="3"/>
      <c r="Y72" s="3"/>
      <c r="Z72" s="3"/>
      <c r="AA72" s="3"/>
      <c r="AB72" s="3"/>
      <c r="AC72" s="3"/>
    </row>
    <row r="73" spans="1:29" x14ac:dyDescent="0.15">
      <c r="A73" s="3"/>
      <c r="B73" s="3"/>
      <c r="C73" s="32">
        <f t="shared" si="2"/>
        <v>190</v>
      </c>
      <c r="D73" s="16">
        <f t="shared" si="3"/>
        <v>2.0835145896993548</v>
      </c>
      <c r="E73" s="3"/>
      <c r="P73" s="3"/>
      <c r="Q73" s="3"/>
      <c r="R73" s="3"/>
      <c r="S73" s="3"/>
      <c r="T73" s="3"/>
      <c r="U73" s="3"/>
      <c r="V73" s="3"/>
      <c r="W73" s="3"/>
      <c r="X73" s="3"/>
      <c r="Y73" s="3"/>
      <c r="Z73" s="3"/>
      <c r="AA73" s="3"/>
      <c r="AB73" s="3"/>
      <c r="AC73" s="3"/>
    </row>
    <row r="74" spans="1:29" x14ac:dyDescent="0.15">
      <c r="A74" s="3"/>
      <c r="B74" s="3"/>
      <c r="C74" s="32">
        <f t="shared" si="2"/>
        <v>200</v>
      </c>
      <c r="D74" s="16">
        <f t="shared" si="3"/>
        <v>1.8798581644293648</v>
      </c>
      <c r="E74" s="3"/>
      <c r="P74" s="3"/>
      <c r="Q74" s="3"/>
      <c r="R74" s="3"/>
      <c r="S74" s="3"/>
      <c r="T74" s="3"/>
      <c r="U74" s="3"/>
      <c r="V74" s="3"/>
      <c r="W74" s="3"/>
      <c r="X74" s="3"/>
      <c r="Y74" s="3"/>
      <c r="Z74" s="3"/>
      <c r="AA74" s="3"/>
      <c r="AB74" s="3"/>
      <c r="AC74" s="3"/>
    </row>
    <row r="75" spans="1:29" x14ac:dyDescent="0.15">
      <c r="A75" s="3"/>
      <c r="B75" s="3"/>
      <c r="C75" s="32">
        <f t="shared" si="2"/>
        <v>210</v>
      </c>
      <c r="D75" s="16">
        <f t="shared" si="3"/>
        <v>1.5253063169584999</v>
      </c>
      <c r="E75" s="3"/>
      <c r="P75" s="3"/>
      <c r="Q75" s="3"/>
      <c r="R75" s="3"/>
      <c r="S75" s="3"/>
      <c r="T75" s="3"/>
      <c r="U75" s="3"/>
      <c r="V75" s="3"/>
      <c r="W75" s="3"/>
      <c r="X75" s="3"/>
      <c r="Y75" s="3"/>
      <c r="Z75" s="3"/>
      <c r="AA75" s="3"/>
      <c r="AB75" s="3"/>
      <c r="AC75" s="3"/>
    </row>
    <row r="76" spans="1:29" x14ac:dyDescent="0.15">
      <c r="A76" s="3"/>
      <c r="B76" s="3"/>
      <c r="C76" s="32">
        <f t="shared" si="2"/>
        <v>220</v>
      </c>
      <c r="D76" s="16">
        <f t="shared" si="3"/>
        <v>0.99253966553519413</v>
      </c>
      <c r="E76" s="3"/>
      <c r="P76" s="3"/>
      <c r="Q76" s="3"/>
      <c r="R76" s="3"/>
      <c r="S76" s="3"/>
      <c r="T76" s="3"/>
      <c r="U76" s="3"/>
      <c r="V76" s="3"/>
      <c r="W76" s="3"/>
      <c r="X76" s="3"/>
      <c r="Y76" s="3"/>
      <c r="Z76" s="3"/>
      <c r="AA76" s="3"/>
      <c r="AB76" s="3"/>
      <c r="AC76" s="3"/>
    </row>
    <row r="77" spans="1:29" x14ac:dyDescent="0.15">
      <c r="A77" s="3"/>
      <c r="B77" s="3"/>
      <c r="C77" s="32">
        <f t="shared" si="2"/>
        <v>230</v>
      </c>
      <c r="D77" s="16">
        <f t="shared" si="3"/>
        <v>0.23067496752435002</v>
      </c>
      <c r="E77" s="3"/>
      <c r="P77" s="3"/>
      <c r="Q77" s="3"/>
      <c r="R77" s="3"/>
      <c r="S77" s="3"/>
      <c r="T77" s="3"/>
      <c r="U77" s="3"/>
      <c r="V77" s="3"/>
      <c r="W77" s="3"/>
      <c r="X77" s="3"/>
      <c r="Y77" s="3"/>
      <c r="Z77" s="3"/>
      <c r="AA77" s="3"/>
      <c r="AB77" s="3"/>
      <c r="AC77" s="3"/>
    </row>
    <row r="78" spans="1:29" x14ac:dyDescent="0.15">
      <c r="A78" s="3"/>
      <c r="B78" s="3"/>
      <c r="C78" s="32">
        <f t="shared" si="2"/>
        <v>240</v>
      </c>
      <c r="D78" s="16">
        <f t="shared" si="3"/>
        <v>-0.86029995663980818</v>
      </c>
      <c r="E78" s="3"/>
      <c r="P78" s="3"/>
      <c r="Q78" s="3"/>
      <c r="R78" s="3"/>
      <c r="S78" s="3"/>
      <c r="T78" s="3"/>
      <c r="U78" s="3"/>
      <c r="V78" s="3"/>
      <c r="W78" s="3"/>
      <c r="X78" s="3"/>
      <c r="Y78" s="3"/>
      <c r="Z78" s="3"/>
      <c r="AA78" s="3"/>
      <c r="AB78" s="3"/>
      <c r="AC78" s="3"/>
    </row>
    <row r="79" spans="1:29" x14ac:dyDescent="0.15">
      <c r="A79" s="3"/>
      <c r="B79" s="3"/>
      <c r="C79" s="32">
        <f t="shared" si="2"/>
        <v>250</v>
      </c>
      <c r="D79" s="16">
        <f t="shared" si="3"/>
        <v>-2.5094831535448301</v>
      </c>
      <c r="E79" s="3"/>
      <c r="P79" s="3"/>
      <c r="Q79" s="3"/>
      <c r="R79" s="3"/>
      <c r="S79" s="3"/>
      <c r="T79" s="3"/>
      <c r="U79" s="3"/>
      <c r="V79" s="3"/>
      <c r="W79" s="3"/>
      <c r="X79" s="3"/>
      <c r="Y79" s="3"/>
      <c r="Z79" s="3"/>
      <c r="AA79" s="3"/>
      <c r="AB79" s="3"/>
      <c r="AC79" s="3"/>
    </row>
    <row r="80" spans="1:29" x14ac:dyDescent="0.15">
      <c r="A80" s="3"/>
      <c r="B80" s="3"/>
      <c r="C80" s="32">
        <f t="shared" si="2"/>
        <v>260</v>
      </c>
      <c r="D80" s="16">
        <f t="shared" si="3"/>
        <v>-5.4532976998839953</v>
      </c>
      <c r="E80" s="3"/>
      <c r="P80" s="3"/>
      <c r="Q80" s="3"/>
      <c r="R80" s="3"/>
      <c r="S80" s="3"/>
      <c r="T80" s="3"/>
      <c r="U80" s="3"/>
      <c r="V80" s="3"/>
      <c r="W80" s="3"/>
      <c r="X80" s="3"/>
      <c r="Y80" s="3"/>
      <c r="Z80" s="3"/>
      <c r="AA80" s="3"/>
      <c r="AB80" s="3"/>
      <c r="AC80" s="3"/>
    </row>
    <row r="81" spans="1:29" x14ac:dyDescent="0.15">
      <c r="A81" s="3"/>
      <c r="B81" s="3"/>
      <c r="C81" s="32">
        <v>265</v>
      </c>
      <c r="D81" s="16">
        <f t="shared" si="3"/>
        <v>-8.4470399166987935</v>
      </c>
      <c r="E81" s="3" t="s">
        <v>512</v>
      </c>
      <c r="F81" s="3"/>
      <c r="G81" s="3"/>
      <c r="H81" s="3"/>
      <c r="I81" s="3"/>
      <c r="J81" s="3"/>
      <c r="K81" s="3"/>
      <c r="L81" s="3"/>
      <c r="M81" s="4" t="s">
        <v>114</v>
      </c>
      <c r="N81" s="3"/>
      <c r="O81" s="3"/>
      <c r="P81" s="3"/>
      <c r="Q81" s="3"/>
      <c r="R81" s="3"/>
      <c r="S81" s="3"/>
      <c r="T81" s="3"/>
      <c r="U81" s="3"/>
      <c r="V81" s="3"/>
      <c r="W81" s="3"/>
      <c r="X81" s="3"/>
      <c r="Y81" s="3"/>
      <c r="Z81" s="3"/>
      <c r="AA81" s="3"/>
      <c r="AB81" s="3"/>
      <c r="AC81" s="3"/>
    </row>
    <row r="82" spans="1:29" x14ac:dyDescent="0.15">
      <c r="A82" s="3"/>
      <c r="B82" s="3"/>
      <c r="C82" s="32">
        <v>267.5</v>
      </c>
      <c r="D82" s="16">
        <f t="shared" si="3"/>
        <v>-11.453204383841493</v>
      </c>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15">
      <c r="A83" s="3"/>
      <c r="B83" s="3"/>
      <c r="C83" s="32">
        <f>C80+10</f>
        <v>270</v>
      </c>
      <c r="D83" s="16">
        <v>-40</v>
      </c>
      <c r="E83" s="3"/>
      <c r="F83" s="3"/>
      <c r="G83" s="3" t="s">
        <v>766</v>
      </c>
      <c r="H83" s="3"/>
      <c r="I83" s="3">
        <v>2.15</v>
      </c>
      <c r="J83" s="3" t="s">
        <v>762</v>
      </c>
      <c r="K83" s="3"/>
      <c r="L83" s="3"/>
      <c r="M83" s="3"/>
      <c r="N83" s="3"/>
      <c r="O83" s="3"/>
      <c r="P83" s="3"/>
      <c r="Q83" s="3"/>
      <c r="R83" s="3"/>
      <c r="S83" s="3"/>
      <c r="T83" s="3"/>
      <c r="U83" s="3"/>
      <c r="V83" s="3"/>
      <c r="W83" s="3"/>
      <c r="X83" s="3"/>
      <c r="Y83" s="3"/>
      <c r="Z83" s="3"/>
      <c r="AA83" s="3"/>
      <c r="AB83" s="3"/>
      <c r="AC83" s="3"/>
    </row>
    <row r="84" spans="1:29" x14ac:dyDescent="0.15">
      <c r="A84" s="3"/>
      <c r="B84" s="3"/>
      <c r="C84" s="32">
        <v>272.5</v>
      </c>
      <c r="D84" s="16">
        <f t="shared" ref="D84:D94" si="4">2.15+10*LOG10(COS(RADIANS(C84)))</f>
        <v>-11.453204383841532</v>
      </c>
      <c r="E84" s="3"/>
      <c r="F84" s="3"/>
      <c r="G84" s="3"/>
      <c r="H84" s="3"/>
      <c r="I84" s="3"/>
      <c r="J84" s="3"/>
      <c r="K84" s="3"/>
      <c r="L84" s="3"/>
      <c r="M84" s="3"/>
      <c r="N84" s="3"/>
      <c r="O84" s="3"/>
      <c r="P84" s="3"/>
      <c r="Q84" s="3"/>
      <c r="R84" s="3"/>
      <c r="S84" s="3"/>
      <c r="T84" s="3"/>
      <c r="U84" s="3"/>
      <c r="V84" s="3"/>
      <c r="W84" s="3"/>
      <c r="X84" s="3"/>
      <c r="Y84" s="3"/>
      <c r="Z84" s="3"/>
      <c r="AA84" s="3"/>
      <c r="AB84" s="3"/>
      <c r="AC84" s="3"/>
    </row>
    <row r="85" spans="1:29" x14ac:dyDescent="0.15">
      <c r="A85" s="3"/>
      <c r="B85" s="3"/>
      <c r="C85" s="32">
        <v>275</v>
      </c>
      <c r="D85" s="16">
        <f t="shared" si="4"/>
        <v>-8.4470399166988113</v>
      </c>
      <c r="E85" s="3"/>
      <c r="F85" s="3"/>
      <c r="G85" s="3" t="s">
        <v>787</v>
      </c>
      <c r="H85" s="3"/>
      <c r="I85" s="3">
        <v>78.8</v>
      </c>
      <c r="J85" s="3" t="s">
        <v>521</v>
      </c>
      <c r="K85" s="3" t="s">
        <v>110</v>
      </c>
      <c r="L85" s="3"/>
      <c r="M85" s="3"/>
      <c r="N85" s="3"/>
      <c r="O85" s="3"/>
      <c r="P85" s="3"/>
      <c r="Q85" s="3"/>
      <c r="R85" s="3"/>
      <c r="S85" s="3"/>
      <c r="T85" s="3"/>
      <c r="U85" s="3"/>
      <c r="V85" s="3"/>
      <c r="W85" s="3"/>
      <c r="X85" s="3"/>
      <c r="Y85" s="3"/>
      <c r="Z85" s="3"/>
      <c r="AA85" s="3"/>
      <c r="AB85" s="3"/>
      <c r="AC85" s="3"/>
    </row>
    <row r="86" spans="1:29" x14ac:dyDescent="0.15">
      <c r="A86" s="3"/>
      <c r="B86" s="3"/>
      <c r="C86" s="32">
        <f>C83+10</f>
        <v>280</v>
      </c>
      <c r="D86" s="16">
        <f t="shared" si="4"/>
        <v>-5.4532976998840041</v>
      </c>
      <c r="E86" s="3" t="s">
        <v>512</v>
      </c>
      <c r="F86" s="3"/>
      <c r="G86" s="3"/>
      <c r="H86" s="3"/>
      <c r="I86" s="3"/>
      <c r="J86" s="3"/>
      <c r="K86" s="3"/>
      <c r="L86" s="3"/>
      <c r="M86" s="3"/>
      <c r="N86" s="3"/>
      <c r="O86" s="3"/>
      <c r="P86" s="3"/>
      <c r="Q86" s="3"/>
      <c r="R86" s="3"/>
      <c r="S86" s="3"/>
      <c r="T86" s="3"/>
      <c r="U86" s="3"/>
      <c r="V86" s="3"/>
      <c r="W86" s="3"/>
      <c r="X86" s="3"/>
      <c r="Y86" s="3"/>
      <c r="Z86" s="3"/>
      <c r="AA86" s="3"/>
      <c r="AB86" s="3"/>
      <c r="AC86" s="3"/>
    </row>
    <row r="87" spans="1:29" x14ac:dyDescent="0.15">
      <c r="A87" s="3"/>
      <c r="B87" s="3"/>
      <c r="C87" s="32">
        <f t="shared" si="2"/>
        <v>290</v>
      </c>
      <c r="D87" s="16">
        <f t="shared" si="4"/>
        <v>-2.5094831535448248</v>
      </c>
      <c r="E87" s="3"/>
      <c r="F87" s="3"/>
      <c r="G87" s="3" t="s">
        <v>108</v>
      </c>
      <c r="H87" s="3"/>
      <c r="I87" s="553">
        <v>0</v>
      </c>
      <c r="J87" s="3" t="s">
        <v>521</v>
      </c>
      <c r="K87" s="3" t="s">
        <v>109</v>
      </c>
      <c r="L87" s="3"/>
      <c r="M87" s="3"/>
      <c r="N87" s="3"/>
      <c r="O87" s="3"/>
      <c r="P87" s="3"/>
      <c r="Q87" s="3"/>
      <c r="R87" s="3"/>
      <c r="S87" s="3"/>
      <c r="T87" s="3"/>
      <c r="U87" s="3"/>
      <c r="V87" s="3"/>
      <c r="W87" s="3"/>
      <c r="X87" s="3"/>
      <c r="Y87" s="3"/>
      <c r="Z87" s="3"/>
      <c r="AA87" s="3"/>
      <c r="AB87" s="3"/>
      <c r="AC87" s="3"/>
    </row>
    <row r="88" spans="1:29" x14ac:dyDescent="0.15">
      <c r="A88" s="3"/>
      <c r="B88" s="3"/>
      <c r="C88" s="32">
        <f t="shared" si="2"/>
        <v>300</v>
      </c>
      <c r="D88" s="16">
        <f t="shared" si="4"/>
        <v>-0.86029995663981085</v>
      </c>
      <c r="E88" s="3"/>
      <c r="F88" s="3"/>
      <c r="G88" s="3"/>
      <c r="H88" s="3"/>
      <c r="I88" s="3"/>
      <c r="J88" s="3"/>
      <c r="K88" s="3"/>
      <c r="L88" s="3"/>
      <c r="M88" s="3"/>
      <c r="N88" s="3"/>
      <c r="O88" s="3"/>
      <c r="P88" s="3"/>
      <c r="Q88" s="3"/>
      <c r="R88" s="3"/>
      <c r="S88" s="3"/>
      <c r="T88" s="3"/>
      <c r="U88" s="3"/>
      <c r="V88" s="3"/>
      <c r="W88" s="3"/>
      <c r="X88" s="3"/>
      <c r="Y88" s="3"/>
      <c r="Z88" s="3"/>
      <c r="AA88" s="3"/>
      <c r="AB88" s="3"/>
      <c r="AC88" s="3"/>
    </row>
    <row r="89" spans="1:29" x14ac:dyDescent="0.15">
      <c r="A89" s="3"/>
      <c r="B89" s="3"/>
      <c r="C89" s="32">
        <f t="shared" si="2"/>
        <v>310</v>
      </c>
      <c r="D89" s="16">
        <f t="shared" si="4"/>
        <v>0.23067496752434824</v>
      </c>
      <c r="E89" s="3"/>
      <c r="F89" s="3"/>
      <c r="G89" s="3" t="s">
        <v>111</v>
      </c>
      <c r="H89" s="3"/>
      <c r="I89" s="3">
        <v>2.15</v>
      </c>
      <c r="J89" s="3" t="s">
        <v>762</v>
      </c>
      <c r="K89" s="3" t="s">
        <v>112</v>
      </c>
      <c r="L89" s="3"/>
      <c r="M89" s="3"/>
      <c r="N89" s="3"/>
      <c r="O89" s="3"/>
      <c r="P89" s="3"/>
      <c r="Q89" s="3"/>
      <c r="R89" s="3"/>
      <c r="S89" s="3"/>
      <c r="T89" s="3"/>
      <c r="U89" s="3"/>
      <c r="V89" s="3"/>
      <c r="W89" s="3"/>
      <c r="X89" s="3"/>
      <c r="Y89" s="3"/>
      <c r="Z89" s="3"/>
      <c r="AA89" s="3"/>
      <c r="AB89" s="3"/>
      <c r="AC89" s="3"/>
    </row>
    <row r="90" spans="1:29" x14ac:dyDescent="0.15">
      <c r="A90" s="3"/>
      <c r="B90" s="3"/>
      <c r="C90" s="32">
        <f t="shared" si="2"/>
        <v>320</v>
      </c>
      <c r="D90" s="16">
        <f t="shared" si="4"/>
        <v>0.99253966553519279</v>
      </c>
      <c r="E90" s="3"/>
      <c r="F90" s="3"/>
      <c r="G90" s="3"/>
      <c r="H90" s="3"/>
      <c r="I90" s="3"/>
      <c r="J90" s="3"/>
      <c r="K90" s="3"/>
      <c r="L90" s="3"/>
      <c r="M90" s="3"/>
      <c r="N90" s="3"/>
      <c r="O90" s="3"/>
      <c r="P90" s="3"/>
      <c r="Q90" s="3"/>
      <c r="R90" s="3"/>
      <c r="S90" s="3"/>
      <c r="T90" s="3"/>
      <c r="U90" s="3"/>
      <c r="V90" s="3"/>
      <c r="W90" s="3"/>
      <c r="X90" s="3"/>
      <c r="Y90" s="3"/>
      <c r="Z90" s="3"/>
      <c r="AA90" s="3"/>
      <c r="AB90" s="3"/>
      <c r="AC90" s="3"/>
    </row>
    <row r="91" spans="1:29" x14ac:dyDescent="0.15">
      <c r="A91" s="3"/>
      <c r="B91" s="3"/>
      <c r="C91" s="32">
        <f t="shared" si="2"/>
        <v>330</v>
      </c>
      <c r="D91" s="16">
        <f t="shared" si="4"/>
        <v>1.5253063169584988</v>
      </c>
      <c r="E91" s="3"/>
      <c r="F91" s="3"/>
      <c r="G91" s="3" t="s">
        <v>113</v>
      </c>
      <c r="H91" s="3"/>
      <c r="I91" s="553">
        <v>0</v>
      </c>
      <c r="J91" s="3" t="s">
        <v>521</v>
      </c>
      <c r="K91" s="3"/>
      <c r="L91" s="3"/>
      <c r="M91" s="3"/>
      <c r="N91" s="3"/>
      <c r="O91" s="3"/>
      <c r="P91" s="3"/>
      <c r="Q91" s="3"/>
      <c r="R91" s="3"/>
      <c r="S91" s="3"/>
      <c r="T91" s="3"/>
      <c r="U91" s="3"/>
      <c r="V91" s="3"/>
      <c r="W91" s="3"/>
      <c r="X91" s="3"/>
      <c r="Y91" s="3"/>
      <c r="Z91" s="3"/>
      <c r="AA91" s="3"/>
      <c r="AB91" s="3"/>
      <c r="AC91" s="3"/>
    </row>
    <row r="92" spans="1:29" x14ac:dyDescent="0.15">
      <c r="A92" s="3"/>
      <c r="B92" s="3"/>
      <c r="C92" s="32">
        <f t="shared" si="2"/>
        <v>340</v>
      </c>
      <c r="D92" s="16">
        <f t="shared" si="4"/>
        <v>1.8798581644293648</v>
      </c>
      <c r="E92" s="3"/>
      <c r="F92" s="3"/>
      <c r="G92" s="3"/>
      <c r="H92" s="3"/>
      <c r="I92" s="3"/>
      <c r="J92" s="3"/>
      <c r="K92" s="3"/>
      <c r="L92" s="3"/>
      <c r="M92" s="3"/>
      <c r="N92" s="3"/>
      <c r="O92" s="3"/>
      <c r="P92" s="3"/>
      <c r="Q92" s="3"/>
      <c r="R92" s="3"/>
      <c r="S92" s="3"/>
      <c r="T92" s="3"/>
      <c r="U92" s="3"/>
      <c r="V92" s="3"/>
      <c r="W92" s="3"/>
      <c r="X92" s="3"/>
      <c r="Y92" s="3"/>
      <c r="Z92" s="3"/>
      <c r="AA92" s="3"/>
      <c r="AB92" s="3"/>
      <c r="AC92" s="3"/>
    </row>
    <row r="93" spans="1:29" x14ac:dyDescent="0.15">
      <c r="A93" s="3"/>
      <c r="B93" s="3"/>
      <c r="C93" s="32">
        <f t="shared" si="2"/>
        <v>350</v>
      </c>
      <c r="D93" s="16">
        <f t="shared" si="4"/>
        <v>2.0835145896993548</v>
      </c>
      <c r="E93" s="3"/>
      <c r="F93" s="3"/>
      <c r="G93" s="3"/>
      <c r="H93" s="3"/>
      <c r="I93" s="3"/>
      <c r="J93" s="3"/>
      <c r="K93" s="3"/>
      <c r="L93" s="3"/>
      <c r="M93" s="3"/>
      <c r="N93" s="3"/>
      <c r="O93" s="3"/>
      <c r="P93" s="3"/>
      <c r="Q93" s="3"/>
      <c r="R93" s="3"/>
      <c r="S93" s="3"/>
      <c r="T93" s="3"/>
      <c r="U93" s="3"/>
      <c r="V93" s="3"/>
      <c r="W93" s="3"/>
      <c r="X93" s="3"/>
      <c r="Y93" s="3"/>
      <c r="Z93" s="3"/>
      <c r="AA93" s="3"/>
      <c r="AB93" s="3"/>
      <c r="AC93" s="3"/>
    </row>
    <row r="94" spans="1:29" x14ac:dyDescent="0.15">
      <c r="A94" s="3"/>
      <c r="B94" s="3"/>
      <c r="C94" s="32">
        <f t="shared" si="2"/>
        <v>360</v>
      </c>
      <c r="D94" s="16">
        <f t="shared" si="4"/>
        <v>2.15</v>
      </c>
      <c r="E94" s="3"/>
      <c r="F94" s="3"/>
      <c r="G94" s="3"/>
      <c r="H94" s="3"/>
      <c r="I94" s="3"/>
      <c r="J94" s="3"/>
      <c r="K94" s="3"/>
      <c r="L94" s="3"/>
      <c r="M94" s="3"/>
      <c r="N94" s="3"/>
      <c r="O94" s="3"/>
      <c r="P94" s="3"/>
      <c r="Q94" s="3"/>
      <c r="R94" s="3"/>
      <c r="S94" s="3"/>
      <c r="T94" s="3"/>
      <c r="U94" s="3"/>
      <c r="V94" s="3"/>
      <c r="W94" s="3"/>
      <c r="X94" s="3"/>
      <c r="Y94" s="3"/>
      <c r="Z94" s="3"/>
      <c r="AA94" s="3"/>
      <c r="AB94" s="3"/>
      <c r="AC94" s="3"/>
    </row>
    <row r="95" spans="1:29"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x14ac:dyDescent="0.15">
      <c r="A97" s="3"/>
      <c r="B97" s="32" t="s">
        <v>512</v>
      </c>
      <c r="C97" s="3"/>
      <c r="D97" s="610" t="s">
        <v>788</v>
      </c>
      <c r="E97" s="611" t="s">
        <v>882</v>
      </c>
      <c r="F97" s="3"/>
      <c r="G97" s="3"/>
      <c r="H97" s="3"/>
      <c r="I97" s="3"/>
      <c r="J97" s="3"/>
      <c r="K97" s="3"/>
      <c r="L97" s="3"/>
      <c r="M97" s="3"/>
      <c r="N97" s="3"/>
      <c r="O97" s="3"/>
      <c r="P97" s="3"/>
      <c r="Q97" s="3"/>
      <c r="R97" s="3"/>
      <c r="S97" s="3"/>
      <c r="T97" s="3"/>
      <c r="U97" s="3"/>
      <c r="V97" s="3"/>
      <c r="W97" s="3"/>
      <c r="X97" s="3"/>
      <c r="Y97" s="3"/>
      <c r="Z97" s="3"/>
      <c r="AA97" s="3"/>
      <c r="AB97" s="3"/>
      <c r="AC97" s="3"/>
    </row>
    <row r="98" spans="1:29" x14ac:dyDescent="0.15">
      <c r="A98" s="3"/>
      <c r="B98" s="604" t="s">
        <v>365</v>
      </c>
      <c r="C98" s="452" t="s">
        <v>881</v>
      </c>
      <c r="D98" s="609" t="s">
        <v>883</v>
      </c>
      <c r="E98" s="612" t="s">
        <v>883</v>
      </c>
      <c r="F98" s="3"/>
      <c r="G98" s="3"/>
      <c r="H98" s="3"/>
      <c r="I98" s="3"/>
      <c r="J98" s="3"/>
      <c r="K98" s="3"/>
      <c r="L98" s="3"/>
      <c r="M98" s="3"/>
      <c r="N98" s="3"/>
      <c r="O98" s="3"/>
      <c r="U98" s="3"/>
      <c r="V98" s="3"/>
      <c r="W98" s="3"/>
      <c r="X98" s="3"/>
      <c r="Y98" s="3"/>
      <c r="Z98" s="3"/>
      <c r="AA98" s="3"/>
      <c r="AB98" s="3"/>
      <c r="AC98" s="3"/>
    </row>
    <row r="99" spans="1:29" ht="28" x14ac:dyDescent="0.15">
      <c r="A99" s="3"/>
      <c r="B99" s="720" t="s">
        <v>1030</v>
      </c>
      <c r="C99" s="32">
        <v>0</v>
      </c>
      <c r="D99" s="34">
        <f>2-0.00075*(C99)^2</f>
        <v>2</v>
      </c>
      <c r="E99" s="34">
        <f>0.5-0.00075*(180-C99)^2</f>
        <v>-23.8</v>
      </c>
      <c r="F99" t="s">
        <v>512</v>
      </c>
      <c r="G99" t="s">
        <v>512</v>
      </c>
      <c r="U99" s="3"/>
      <c r="V99" s="3"/>
      <c r="W99" s="3"/>
      <c r="X99" s="3"/>
      <c r="Y99" s="3"/>
      <c r="Z99" s="3"/>
      <c r="AA99" s="3"/>
      <c r="AB99" s="3"/>
      <c r="AC99" s="3"/>
    </row>
    <row r="100" spans="1:29" x14ac:dyDescent="0.15">
      <c r="A100" s="3"/>
      <c r="B100" s="3"/>
      <c r="C100" s="32">
        <f>C99+5</f>
        <v>5</v>
      </c>
      <c r="D100" s="34">
        <f t="shared" ref="D100:D135" si="5">2-0.00075*(C100)^2</f>
        <v>1.98125</v>
      </c>
      <c r="E100" s="34">
        <f t="shared" ref="E100:E135" si="6">0.5-0.00075*(180-C100)^2</f>
        <v>-22.46875</v>
      </c>
      <c r="U100" s="3"/>
      <c r="V100" s="3"/>
      <c r="W100" s="3"/>
      <c r="X100" s="3"/>
      <c r="Y100" s="3"/>
      <c r="Z100" s="3"/>
      <c r="AA100" s="3"/>
      <c r="AB100" s="3"/>
      <c r="AC100" s="3"/>
    </row>
    <row r="101" spans="1:29" x14ac:dyDescent="0.15">
      <c r="A101" s="3"/>
      <c r="B101" s="3"/>
      <c r="C101" s="32">
        <f t="shared" ref="C101:C128" si="7">C100+5</f>
        <v>10</v>
      </c>
      <c r="D101" s="34">
        <f t="shared" si="5"/>
        <v>1.925</v>
      </c>
      <c r="E101" s="34">
        <f t="shared" si="6"/>
        <v>-21.175000000000001</v>
      </c>
      <c r="U101" s="3"/>
      <c r="V101" s="3"/>
      <c r="W101" s="3"/>
      <c r="X101" s="3"/>
      <c r="Y101" s="3"/>
      <c r="Z101" s="3"/>
      <c r="AA101" s="3"/>
      <c r="AB101" s="3"/>
      <c r="AC101" s="3"/>
    </row>
    <row r="102" spans="1:29" x14ac:dyDescent="0.15">
      <c r="A102" s="3"/>
      <c r="B102" s="3"/>
      <c r="C102" s="32">
        <f t="shared" si="7"/>
        <v>15</v>
      </c>
      <c r="D102" s="34">
        <f t="shared" si="5"/>
        <v>1.83125</v>
      </c>
      <c r="E102" s="34">
        <f t="shared" si="6"/>
        <v>-19.918749999999999</v>
      </c>
      <c r="U102" s="3"/>
      <c r="V102" s="3"/>
      <c r="W102" s="3"/>
      <c r="X102" s="3"/>
      <c r="Y102" s="3"/>
      <c r="Z102" s="3"/>
      <c r="AA102" s="3"/>
      <c r="AB102" s="3"/>
      <c r="AC102" s="3"/>
    </row>
    <row r="103" spans="1:29" x14ac:dyDescent="0.15">
      <c r="A103" s="3"/>
      <c r="B103" s="3"/>
      <c r="C103" s="32">
        <f t="shared" si="7"/>
        <v>20</v>
      </c>
      <c r="D103" s="34">
        <f t="shared" si="5"/>
        <v>1.7</v>
      </c>
      <c r="E103" s="34">
        <f t="shared" si="6"/>
        <v>-18.7</v>
      </c>
      <c r="U103" s="3"/>
      <c r="V103" s="3"/>
      <c r="W103" s="3"/>
      <c r="X103" s="3"/>
      <c r="Y103" s="3"/>
      <c r="Z103" s="3"/>
      <c r="AA103" s="3"/>
      <c r="AB103" s="3"/>
      <c r="AC103" s="3"/>
    </row>
    <row r="104" spans="1:29" x14ac:dyDescent="0.15">
      <c r="A104" s="3"/>
      <c r="B104" s="3" t="s">
        <v>512</v>
      </c>
      <c r="C104" s="32">
        <f t="shared" si="7"/>
        <v>25</v>
      </c>
      <c r="D104" s="34">
        <f t="shared" si="5"/>
        <v>1.53125</v>
      </c>
      <c r="E104" s="34">
        <f t="shared" si="6"/>
        <v>-17.518750000000001</v>
      </c>
      <c r="U104" s="3"/>
      <c r="V104" s="3"/>
      <c r="W104" s="3"/>
      <c r="X104" s="3"/>
      <c r="Y104" s="3"/>
      <c r="Z104" s="3"/>
      <c r="AA104" s="3"/>
      <c r="AB104" s="3"/>
      <c r="AC104" s="3"/>
    </row>
    <row r="105" spans="1:29" x14ac:dyDescent="0.15">
      <c r="A105" s="3"/>
      <c r="B105" s="3"/>
      <c r="C105" s="32">
        <f t="shared" si="7"/>
        <v>30</v>
      </c>
      <c r="D105" s="34">
        <f t="shared" si="5"/>
        <v>1.325</v>
      </c>
      <c r="E105" s="34">
        <f t="shared" si="6"/>
        <v>-16.375</v>
      </c>
      <c r="U105" s="3"/>
      <c r="V105" s="3"/>
      <c r="W105" s="3"/>
      <c r="X105" s="3"/>
      <c r="Y105" s="3"/>
      <c r="Z105" s="3"/>
      <c r="AA105" s="3"/>
      <c r="AB105" s="3"/>
      <c r="AC105" s="3"/>
    </row>
    <row r="106" spans="1:29" x14ac:dyDescent="0.15">
      <c r="A106" s="3"/>
      <c r="B106" s="3"/>
      <c r="C106" s="32">
        <f t="shared" si="7"/>
        <v>35</v>
      </c>
      <c r="D106" s="34">
        <f t="shared" si="5"/>
        <v>1.0812499999999998</v>
      </c>
      <c r="E106" s="34">
        <f t="shared" si="6"/>
        <v>-15.268750000000001</v>
      </c>
      <c r="U106" s="3"/>
      <c r="V106" s="3"/>
      <c r="W106" s="3"/>
      <c r="X106" s="3"/>
      <c r="Y106" s="3"/>
      <c r="Z106" s="3"/>
      <c r="AA106" s="3"/>
      <c r="AB106" s="3"/>
      <c r="AC106" s="3"/>
    </row>
    <row r="107" spans="1:29" x14ac:dyDescent="0.15">
      <c r="A107" s="3"/>
      <c r="B107" s="3"/>
      <c r="C107" s="32">
        <f t="shared" si="7"/>
        <v>40</v>
      </c>
      <c r="D107" s="34">
        <f t="shared" si="5"/>
        <v>0.8</v>
      </c>
      <c r="E107" s="34">
        <f t="shared" si="6"/>
        <v>-14.200000000000001</v>
      </c>
      <c r="U107" s="3"/>
      <c r="V107" s="3"/>
      <c r="W107" s="3"/>
      <c r="X107" s="3"/>
      <c r="Y107" s="3"/>
      <c r="Z107" s="3"/>
      <c r="AA107" s="3"/>
      <c r="AB107" s="3"/>
      <c r="AC107" s="3"/>
    </row>
    <row r="108" spans="1:29" x14ac:dyDescent="0.15">
      <c r="A108" s="3"/>
      <c r="B108" s="3"/>
      <c r="C108" s="32">
        <f t="shared" si="7"/>
        <v>45</v>
      </c>
      <c r="D108" s="34">
        <f t="shared" si="5"/>
        <v>0.48124999999999996</v>
      </c>
      <c r="E108" s="34">
        <f t="shared" si="6"/>
        <v>-13.168750000000001</v>
      </c>
      <c r="U108" s="3"/>
      <c r="V108" s="3"/>
      <c r="W108" s="3"/>
      <c r="X108" s="3"/>
      <c r="Y108" s="3"/>
      <c r="Z108" s="3"/>
      <c r="AA108" s="3"/>
      <c r="AB108" s="3"/>
      <c r="AC108" s="3"/>
    </row>
    <row r="109" spans="1:29" x14ac:dyDescent="0.15">
      <c r="A109" s="3"/>
      <c r="B109" s="3"/>
      <c r="C109" s="32">
        <f t="shared" si="7"/>
        <v>50</v>
      </c>
      <c r="D109" s="34">
        <f t="shared" si="5"/>
        <v>0.125</v>
      </c>
      <c r="E109" s="34">
        <f t="shared" si="6"/>
        <v>-12.175000000000001</v>
      </c>
      <c r="U109" s="3"/>
      <c r="V109" s="3"/>
      <c r="W109" s="3"/>
      <c r="X109" s="3"/>
      <c r="Y109" s="3"/>
      <c r="Z109" s="3"/>
      <c r="AA109" s="3"/>
      <c r="AB109" s="3"/>
      <c r="AC109" s="3"/>
    </row>
    <row r="110" spans="1:29" x14ac:dyDescent="0.15">
      <c r="A110" s="3"/>
      <c r="B110" s="3"/>
      <c r="C110" s="32">
        <f t="shared" si="7"/>
        <v>55</v>
      </c>
      <c r="D110" s="34">
        <f t="shared" si="5"/>
        <v>-0.26875000000000027</v>
      </c>
      <c r="E110" s="34">
        <f t="shared" si="6"/>
        <v>-11.21875</v>
      </c>
      <c r="U110" s="3"/>
      <c r="V110" s="3"/>
      <c r="W110" s="3"/>
      <c r="X110" s="3"/>
      <c r="Y110" s="3"/>
      <c r="Z110" s="3"/>
      <c r="AA110" s="3"/>
      <c r="AB110" s="3"/>
      <c r="AC110" s="3"/>
    </row>
    <row r="111" spans="1:29" x14ac:dyDescent="0.15">
      <c r="A111" s="3"/>
      <c r="B111" s="3"/>
      <c r="C111" s="32">
        <f t="shared" si="7"/>
        <v>60</v>
      </c>
      <c r="D111" s="34">
        <f t="shared" si="5"/>
        <v>-0.70000000000000018</v>
      </c>
      <c r="E111" s="34">
        <f t="shared" si="6"/>
        <v>-10.3</v>
      </c>
      <c r="U111" s="3"/>
      <c r="V111" s="3"/>
      <c r="W111" s="3"/>
      <c r="X111" s="3"/>
      <c r="Y111" s="3"/>
      <c r="Z111" s="3"/>
      <c r="AA111" s="3"/>
      <c r="AB111" s="3"/>
      <c r="AC111" s="3"/>
    </row>
    <row r="112" spans="1:29" x14ac:dyDescent="0.15">
      <c r="A112" s="3"/>
      <c r="B112" s="3"/>
      <c r="C112" s="32">
        <f t="shared" si="7"/>
        <v>65</v>
      </c>
      <c r="D112" s="34">
        <f t="shared" si="5"/>
        <v>-1.1687500000000002</v>
      </c>
      <c r="E112" s="34">
        <f t="shared" si="6"/>
        <v>-9.4187500000000011</v>
      </c>
      <c r="U112" s="3"/>
      <c r="V112" s="3"/>
      <c r="W112" s="3"/>
      <c r="X112" s="3"/>
      <c r="Y112" s="3"/>
      <c r="Z112" s="3"/>
      <c r="AA112" s="3"/>
      <c r="AB112" s="3"/>
      <c r="AC112" s="3"/>
    </row>
    <row r="113" spans="1:29" x14ac:dyDescent="0.15">
      <c r="A113" s="3"/>
      <c r="B113" s="3"/>
      <c r="C113" s="32">
        <f t="shared" si="7"/>
        <v>70</v>
      </c>
      <c r="D113" s="34">
        <f t="shared" si="5"/>
        <v>-1.6750000000000003</v>
      </c>
      <c r="E113" s="34">
        <f t="shared" si="6"/>
        <v>-8.5750000000000011</v>
      </c>
      <c r="U113" s="3"/>
      <c r="V113" s="3"/>
      <c r="W113" s="3"/>
      <c r="X113" s="3"/>
      <c r="Y113" s="3"/>
      <c r="Z113" s="3"/>
      <c r="AA113" s="3"/>
      <c r="AB113" s="3"/>
      <c r="AC113" s="3"/>
    </row>
    <row r="114" spans="1:29" x14ac:dyDescent="0.15">
      <c r="A114" s="3"/>
      <c r="B114" s="3"/>
      <c r="C114" s="32">
        <f t="shared" si="7"/>
        <v>75</v>
      </c>
      <c r="D114" s="34">
        <f t="shared" si="5"/>
        <v>-2.21875</v>
      </c>
      <c r="E114" s="34">
        <f t="shared" si="6"/>
        <v>-7.7687500000000007</v>
      </c>
      <c r="U114" s="3"/>
      <c r="V114" s="3"/>
      <c r="W114" s="3"/>
      <c r="X114" s="3"/>
      <c r="Y114" s="3"/>
      <c r="Z114" s="3"/>
      <c r="AA114" s="3"/>
      <c r="AB114" s="3"/>
      <c r="AC114" s="3"/>
    </row>
    <row r="115" spans="1:29" x14ac:dyDescent="0.15">
      <c r="A115" s="3"/>
      <c r="B115" s="3"/>
      <c r="C115" s="32">
        <f t="shared" si="7"/>
        <v>80</v>
      </c>
      <c r="D115" s="34">
        <f t="shared" si="5"/>
        <v>-2.8</v>
      </c>
      <c r="E115" s="34">
        <f t="shared" si="6"/>
        <v>-7</v>
      </c>
      <c r="U115" s="3"/>
      <c r="V115" s="3"/>
      <c r="W115" s="3"/>
      <c r="X115" s="3"/>
      <c r="Y115" s="3"/>
      <c r="Z115" s="3"/>
      <c r="AA115" s="3"/>
      <c r="AB115" s="3"/>
      <c r="AC115" s="3"/>
    </row>
    <row r="116" spans="1:29" x14ac:dyDescent="0.15">
      <c r="A116" s="3"/>
      <c r="B116" s="3"/>
      <c r="C116" s="32">
        <f t="shared" si="7"/>
        <v>85</v>
      </c>
      <c r="D116" s="34">
        <f t="shared" si="5"/>
        <v>-3.4187500000000002</v>
      </c>
      <c r="E116" s="34">
        <f t="shared" si="6"/>
        <v>-6.2687499999999998</v>
      </c>
      <c r="U116" s="3"/>
      <c r="V116" s="3"/>
      <c r="W116" s="3"/>
      <c r="X116" s="3"/>
      <c r="Y116" s="3"/>
      <c r="Z116" s="3"/>
      <c r="AA116" s="3"/>
      <c r="AB116" s="3"/>
      <c r="AC116" s="3"/>
    </row>
    <row r="117" spans="1:29" x14ac:dyDescent="0.15">
      <c r="A117" s="3"/>
      <c r="B117" s="3"/>
      <c r="C117" s="32">
        <f t="shared" si="7"/>
        <v>90</v>
      </c>
      <c r="D117" s="34">
        <f t="shared" si="5"/>
        <v>-4.0750000000000002</v>
      </c>
      <c r="E117" s="34">
        <f t="shared" si="6"/>
        <v>-5.5750000000000002</v>
      </c>
      <c r="U117" s="3"/>
      <c r="V117" s="3"/>
      <c r="W117" s="3"/>
      <c r="X117" s="3"/>
      <c r="Y117" s="3"/>
      <c r="Z117" s="3"/>
      <c r="AA117" s="3"/>
      <c r="AB117" s="3"/>
      <c r="AC117" s="3"/>
    </row>
    <row r="118" spans="1:29" x14ac:dyDescent="0.15">
      <c r="A118" s="3"/>
      <c r="B118" s="3"/>
      <c r="C118" s="32">
        <f t="shared" si="7"/>
        <v>95</v>
      </c>
      <c r="D118" s="34">
        <f t="shared" si="5"/>
        <v>-4.7687499999999998</v>
      </c>
      <c r="E118" s="34">
        <f t="shared" si="6"/>
        <v>-4.9187500000000002</v>
      </c>
      <c r="U118" s="3"/>
      <c r="V118" s="3"/>
      <c r="W118" s="3"/>
      <c r="X118" s="3"/>
      <c r="Y118" s="3"/>
      <c r="Z118" s="3"/>
      <c r="AA118" s="3"/>
      <c r="AB118" s="3"/>
      <c r="AC118" s="3"/>
    </row>
    <row r="119" spans="1:29" x14ac:dyDescent="0.15">
      <c r="A119" s="3"/>
      <c r="B119" s="3"/>
      <c r="C119" s="32">
        <f t="shared" si="7"/>
        <v>100</v>
      </c>
      <c r="D119" s="34">
        <f t="shared" si="5"/>
        <v>-5.5</v>
      </c>
      <c r="E119" s="34">
        <f t="shared" si="6"/>
        <v>-4.3</v>
      </c>
      <c r="U119" s="3"/>
      <c r="V119" s="3"/>
      <c r="W119" s="3"/>
      <c r="X119" s="3"/>
      <c r="Y119" s="3"/>
      <c r="Z119" s="3"/>
      <c r="AA119" s="3"/>
      <c r="AB119" s="3"/>
      <c r="AC119" s="3"/>
    </row>
    <row r="120" spans="1:29" x14ac:dyDescent="0.15">
      <c r="A120" s="3"/>
      <c r="B120" s="3"/>
      <c r="C120" s="32">
        <f t="shared" si="7"/>
        <v>105</v>
      </c>
      <c r="D120" s="34">
        <f t="shared" si="5"/>
        <v>-6.2687500000000007</v>
      </c>
      <c r="E120" s="34">
        <f t="shared" si="6"/>
        <v>-3.71875</v>
      </c>
      <c r="U120" s="3"/>
      <c r="V120" s="3"/>
      <c r="W120" s="3"/>
      <c r="X120" s="3"/>
      <c r="Y120" s="3"/>
      <c r="Z120" s="3"/>
      <c r="AA120" s="3"/>
      <c r="AB120" s="3"/>
      <c r="AC120" s="3"/>
    </row>
    <row r="121" spans="1:29" x14ac:dyDescent="0.15">
      <c r="A121" s="3"/>
      <c r="B121" s="3"/>
      <c r="C121" s="32">
        <f t="shared" si="7"/>
        <v>110</v>
      </c>
      <c r="D121" s="34">
        <f t="shared" si="5"/>
        <v>-7.0750000000000011</v>
      </c>
      <c r="E121" s="34">
        <f t="shared" si="6"/>
        <v>-3.1750000000000003</v>
      </c>
      <c r="U121" s="3"/>
      <c r="V121" s="3"/>
      <c r="W121" s="3"/>
      <c r="X121" s="3"/>
      <c r="Y121" s="3"/>
      <c r="Z121" s="3"/>
      <c r="AA121" s="3"/>
      <c r="AB121" s="3"/>
      <c r="AC121" s="3"/>
    </row>
    <row r="122" spans="1:29" x14ac:dyDescent="0.15">
      <c r="A122" s="3"/>
      <c r="B122" s="3"/>
      <c r="C122" s="32">
        <f t="shared" si="7"/>
        <v>115</v>
      </c>
      <c r="D122" s="34">
        <f t="shared" si="5"/>
        <v>-7.9187500000000011</v>
      </c>
      <c r="E122" s="34">
        <f t="shared" si="6"/>
        <v>-2.6687500000000002</v>
      </c>
      <c r="U122" s="3"/>
      <c r="V122" s="3"/>
      <c r="W122" s="3"/>
      <c r="X122" s="3"/>
      <c r="Y122" s="3"/>
      <c r="Z122" s="3"/>
      <c r="AA122" s="3"/>
      <c r="AB122" s="3"/>
      <c r="AC122" s="3"/>
    </row>
    <row r="123" spans="1:29" x14ac:dyDescent="0.15">
      <c r="A123" s="3"/>
      <c r="B123" s="3"/>
      <c r="C123" s="32">
        <f t="shared" si="7"/>
        <v>120</v>
      </c>
      <c r="D123" s="34">
        <f t="shared" si="5"/>
        <v>-8.8000000000000007</v>
      </c>
      <c r="E123" s="34">
        <f t="shared" si="6"/>
        <v>-2.2000000000000002</v>
      </c>
      <c r="U123" s="3"/>
      <c r="V123" s="3"/>
      <c r="W123" s="3"/>
      <c r="X123" s="3"/>
      <c r="Y123" s="3"/>
      <c r="Z123" s="3"/>
      <c r="AA123" s="3"/>
      <c r="AB123" s="3"/>
      <c r="AC123" s="3"/>
    </row>
    <row r="124" spans="1:29" x14ac:dyDescent="0.15">
      <c r="A124" s="3"/>
      <c r="B124" s="3"/>
      <c r="C124" s="32">
        <f t="shared" si="7"/>
        <v>125</v>
      </c>
      <c r="D124" s="34">
        <f t="shared" si="5"/>
        <v>-9.71875</v>
      </c>
      <c r="E124" s="34">
        <f t="shared" si="6"/>
        <v>-1.7687500000000003</v>
      </c>
      <c r="U124" s="3"/>
      <c r="V124" s="3"/>
      <c r="W124" s="3"/>
      <c r="X124" s="3"/>
      <c r="Y124" s="3"/>
      <c r="Z124" s="3"/>
      <c r="AA124" s="3"/>
      <c r="AB124" s="3"/>
      <c r="AC124" s="3"/>
    </row>
    <row r="125" spans="1:29" x14ac:dyDescent="0.15">
      <c r="A125" s="3"/>
      <c r="B125" s="3"/>
      <c r="C125" s="32">
        <f t="shared" si="7"/>
        <v>130</v>
      </c>
      <c r="D125" s="34">
        <f t="shared" si="5"/>
        <v>-10.675000000000001</v>
      </c>
      <c r="E125" s="34">
        <f t="shared" si="6"/>
        <v>-1.375</v>
      </c>
      <c r="U125" s="3"/>
      <c r="V125" s="3"/>
      <c r="W125" s="3"/>
      <c r="X125" s="3"/>
      <c r="Y125" s="3"/>
      <c r="Z125" s="3"/>
      <c r="AA125" s="3"/>
      <c r="AB125" s="3"/>
      <c r="AC125" s="3"/>
    </row>
    <row r="126" spans="1:29" x14ac:dyDescent="0.15">
      <c r="A126" s="3"/>
      <c r="B126" s="3"/>
      <c r="C126" s="32">
        <f t="shared" si="7"/>
        <v>135</v>
      </c>
      <c r="D126" s="34">
        <f t="shared" si="5"/>
        <v>-11.668750000000001</v>
      </c>
      <c r="E126" s="34">
        <f t="shared" si="6"/>
        <v>-1.01875</v>
      </c>
      <c r="U126" s="3"/>
      <c r="V126" s="3"/>
      <c r="W126" s="3"/>
      <c r="X126" s="3"/>
      <c r="Y126" s="3"/>
      <c r="Z126" s="3"/>
      <c r="AA126" s="3"/>
      <c r="AB126" s="3"/>
      <c r="AC126" s="3"/>
    </row>
    <row r="127" spans="1:29" x14ac:dyDescent="0.15">
      <c r="A127" s="3"/>
      <c r="B127" s="3"/>
      <c r="C127" s="32">
        <f t="shared" si="7"/>
        <v>140</v>
      </c>
      <c r="D127" s="34">
        <f t="shared" si="5"/>
        <v>-12.700000000000001</v>
      </c>
      <c r="E127" s="34">
        <f t="shared" si="6"/>
        <v>-0.7</v>
      </c>
      <c r="U127" s="3"/>
      <c r="V127" s="3"/>
      <c r="W127" s="3"/>
      <c r="X127" s="3"/>
      <c r="Y127" s="3"/>
      <c r="Z127" s="3"/>
      <c r="AA127" s="3"/>
      <c r="AB127" s="3"/>
      <c r="AC127" s="3"/>
    </row>
    <row r="128" spans="1:29" x14ac:dyDescent="0.15">
      <c r="A128" s="3"/>
      <c r="B128" s="3"/>
      <c r="C128" s="32">
        <f t="shared" si="7"/>
        <v>145</v>
      </c>
      <c r="D128" s="34">
        <f t="shared" si="5"/>
        <v>-13.768750000000001</v>
      </c>
      <c r="E128" s="34">
        <f t="shared" si="6"/>
        <v>-0.41875000000000007</v>
      </c>
      <c r="U128" s="3"/>
      <c r="V128" s="3"/>
      <c r="W128" s="3"/>
      <c r="X128" s="3"/>
      <c r="Y128" s="3"/>
      <c r="Z128" s="3"/>
      <c r="AA128" s="3"/>
      <c r="AB128" s="3"/>
      <c r="AC128" s="3"/>
    </row>
    <row r="129" spans="1:29" x14ac:dyDescent="0.15">
      <c r="A129" s="3"/>
      <c r="B129" s="3"/>
      <c r="C129" s="32">
        <f>C128+5</f>
        <v>150</v>
      </c>
      <c r="D129" s="34">
        <f t="shared" si="5"/>
        <v>-14.875</v>
      </c>
      <c r="E129" s="34">
        <f t="shared" si="6"/>
        <v>-0.17500000000000004</v>
      </c>
      <c r="U129" s="3"/>
      <c r="V129" s="3"/>
      <c r="W129" s="3"/>
      <c r="X129" s="3"/>
      <c r="Y129" s="3"/>
      <c r="Z129" s="3"/>
      <c r="AA129" s="3"/>
      <c r="AB129" s="3"/>
      <c r="AC129" s="3"/>
    </row>
    <row r="130" spans="1:29" x14ac:dyDescent="0.15">
      <c r="A130" s="3"/>
      <c r="B130" s="3"/>
      <c r="C130" s="32">
        <f>C129+5</f>
        <v>155</v>
      </c>
      <c r="D130" s="34">
        <f t="shared" si="5"/>
        <v>-16.018750000000001</v>
      </c>
      <c r="E130" s="34">
        <f t="shared" si="6"/>
        <v>3.125E-2</v>
      </c>
      <c r="U130" s="3"/>
      <c r="V130" s="3"/>
      <c r="W130" s="3"/>
      <c r="X130" s="3"/>
      <c r="Y130" s="3"/>
      <c r="Z130" s="3"/>
      <c r="AA130" s="3"/>
      <c r="AB130" s="3"/>
      <c r="AC130" s="3"/>
    </row>
    <row r="131" spans="1:29" x14ac:dyDescent="0.15">
      <c r="A131" s="3"/>
      <c r="B131" s="3"/>
      <c r="C131" s="32">
        <f t="shared" ref="C131:C170" si="8">C130+5</f>
        <v>160</v>
      </c>
      <c r="D131" s="34">
        <f t="shared" si="5"/>
        <v>-17.2</v>
      </c>
      <c r="E131" s="34">
        <f t="shared" si="6"/>
        <v>0.2</v>
      </c>
      <c r="U131" s="3"/>
      <c r="V131" s="3"/>
      <c r="W131" s="3"/>
      <c r="X131" s="3"/>
      <c r="Y131" s="3"/>
      <c r="Z131" s="3"/>
      <c r="AA131" s="3"/>
      <c r="AB131" s="3"/>
      <c r="AC131" s="3"/>
    </row>
    <row r="132" spans="1:29" x14ac:dyDescent="0.15">
      <c r="A132" s="3"/>
      <c r="B132" s="3"/>
      <c r="C132" s="32">
        <f t="shared" si="8"/>
        <v>165</v>
      </c>
      <c r="D132" s="34">
        <f t="shared" si="5"/>
        <v>-18.418749999999999</v>
      </c>
      <c r="E132" s="34">
        <f t="shared" si="6"/>
        <v>0.33124999999999999</v>
      </c>
      <c r="U132" s="3"/>
      <c r="V132" s="3"/>
      <c r="W132" s="3"/>
      <c r="X132" s="3"/>
      <c r="Y132" s="3"/>
      <c r="Z132" s="3"/>
      <c r="AA132" s="3"/>
      <c r="AB132" s="3"/>
      <c r="AC132" s="3"/>
    </row>
    <row r="133" spans="1:29" x14ac:dyDescent="0.15">
      <c r="A133" s="3"/>
      <c r="B133" s="3"/>
      <c r="C133" s="32">
        <f t="shared" si="8"/>
        <v>170</v>
      </c>
      <c r="D133" s="34">
        <f t="shared" si="5"/>
        <v>-19.675000000000001</v>
      </c>
      <c r="E133" s="34">
        <f t="shared" si="6"/>
        <v>0.42499999999999999</v>
      </c>
      <c r="U133" s="3"/>
      <c r="V133" s="3"/>
      <c r="W133" s="3"/>
      <c r="X133" s="3"/>
      <c r="Y133" s="3"/>
      <c r="Z133" s="3"/>
      <c r="AA133" s="3"/>
      <c r="AB133" s="3"/>
      <c r="AC133" s="3"/>
    </row>
    <row r="134" spans="1:29" x14ac:dyDescent="0.15">
      <c r="A134" s="3"/>
      <c r="B134" s="3"/>
      <c r="C134" s="32">
        <f t="shared" si="8"/>
        <v>175</v>
      </c>
      <c r="D134" s="34">
        <f t="shared" si="5"/>
        <v>-20.96875</v>
      </c>
      <c r="E134" s="16">
        <f t="shared" si="6"/>
        <v>0.48125000000000001</v>
      </c>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x14ac:dyDescent="0.15">
      <c r="A135" s="3"/>
      <c r="B135" s="3"/>
      <c r="C135" s="32">
        <f t="shared" si="8"/>
        <v>180</v>
      </c>
      <c r="D135" s="34">
        <f t="shared" si="5"/>
        <v>-22.3</v>
      </c>
      <c r="E135" s="34">
        <f t="shared" si="6"/>
        <v>0.5</v>
      </c>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x14ac:dyDescent="0.15">
      <c r="A136" s="3"/>
      <c r="B136" s="3"/>
      <c r="C136" s="32">
        <f t="shared" si="8"/>
        <v>185</v>
      </c>
      <c r="D136" s="34">
        <f>2-0.00075*(360-C136)^2</f>
        <v>-20.96875</v>
      </c>
      <c r="E136" s="16">
        <f>0.5-0.00075*-(180-C136)^2</f>
        <v>0.48125000000000001</v>
      </c>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x14ac:dyDescent="0.15">
      <c r="A137" s="3"/>
      <c r="B137" s="3"/>
      <c r="C137" s="32">
        <f t="shared" si="8"/>
        <v>190</v>
      </c>
      <c r="D137" s="34">
        <f t="shared" ref="D137:D171" si="9">2-0.00075*(360-C137)^2</f>
        <v>-19.675000000000001</v>
      </c>
      <c r="E137" s="16">
        <f t="shared" ref="E137:E170" si="10">0.5-0.00075*-(180-C137)^2</f>
        <v>0.42499999999999999</v>
      </c>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x14ac:dyDescent="0.15">
      <c r="A138" s="3"/>
      <c r="B138" s="3"/>
      <c r="C138" s="32">
        <f t="shared" si="8"/>
        <v>195</v>
      </c>
      <c r="D138" s="34">
        <f t="shared" si="9"/>
        <v>-18.418749999999999</v>
      </c>
      <c r="E138" s="16">
        <f t="shared" si="10"/>
        <v>0.33124999999999999</v>
      </c>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x14ac:dyDescent="0.15">
      <c r="A139" s="3"/>
      <c r="B139" s="3"/>
      <c r="C139" s="32">
        <f t="shared" si="8"/>
        <v>200</v>
      </c>
      <c r="D139" s="34">
        <f t="shared" si="9"/>
        <v>-17.2</v>
      </c>
      <c r="E139" s="16">
        <f t="shared" si="10"/>
        <v>0.2</v>
      </c>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x14ac:dyDescent="0.15">
      <c r="A140" s="3"/>
      <c r="B140" s="3"/>
      <c r="C140" s="32">
        <f t="shared" si="8"/>
        <v>205</v>
      </c>
      <c r="D140" s="34">
        <f t="shared" si="9"/>
        <v>-16.018750000000001</v>
      </c>
      <c r="E140" s="16">
        <f t="shared" si="10"/>
        <v>3.125E-2</v>
      </c>
      <c r="F140" s="3"/>
      <c r="G140" s="3" t="s">
        <v>512</v>
      </c>
      <c r="H140" s="3"/>
      <c r="I140" s="3"/>
      <c r="J140" s="3"/>
      <c r="K140" s="3"/>
      <c r="L140" s="3"/>
      <c r="M140" s="3"/>
      <c r="N140" s="3"/>
      <c r="O140" s="3"/>
      <c r="P140" s="3"/>
      <c r="Q140" s="3"/>
      <c r="R140" s="3"/>
      <c r="S140" s="3"/>
      <c r="T140" s="3"/>
      <c r="U140" s="3"/>
      <c r="V140" s="3"/>
      <c r="W140" s="3"/>
      <c r="X140" s="3"/>
      <c r="Y140" s="3"/>
      <c r="Z140" s="3"/>
      <c r="AA140" s="3"/>
      <c r="AB140" s="3"/>
      <c r="AC140" s="3"/>
    </row>
    <row r="141" spans="1:29" x14ac:dyDescent="0.15">
      <c r="A141" s="3"/>
      <c r="B141" s="3"/>
      <c r="C141" s="32">
        <f t="shared" si="8"/>
        <v>210</v>
      </c>
      <c r="D141" s="34">
        <f t="shared" si="9"/>
        <v>-14.875</v>
      </c>
      <c r="E141" s="16">
        <f t="shared" si="10"/>
        <v>-0.17500000000000004</v>
      </c>
      <c r="F141" s="3"/>
      <c r="G141" s="3" t="s">
        <v>512</v>
      </c>
      <c r="H141" s="3"/>
      <c r="I141" s="3"/>
      <c r="J141" s="3"/>
      <c r="K141" s="3"/>
      <c r="L141" s="3"/>
      <c r="M141" s="3"/>
      <c r="N141" s="3"/>
      <c r="O141" s="3"/>
      <c r="P141" s="3"/>
      <c r="Q141" s="3"/>
      <c r="R141" s="3"/>
      <c r="S141" s="3"/>
      <c r="T141" s="3"/>
      <c r="U141" s="3"/>
      <c r="V141" s="3"/>
      <c r="W141" s="3"/>
      <c r="X141" s="3"/>
      <c r="Y141" s="3"/>
      <c r="Z141" s="3"/>
      <c r="AA141" s="3"/>
      <c r="AB141" s="3"/>
      <c r="AC141" s="3"/>
    </row>
    <row r="142" spans="1:29" x14ac:dyDescent="0.15">
      <c r="A142" s="3"/>
      <c r="B142" s="3"/>
      <c r="C142" s="32">
        <f t="shared" si="8"/>
        <v>215</v>
      </c>
      <c r="D142" s="34">
        <f t="shared" si="9"/>
        <v>-13.768750000000001</v>
      </c>
      <c r="E142" s="16">
        <f t="shared" si="10"/>
        <v>-0.41875000000000007</v>
      </c>
      <c r="F142" s="3"/>
      <c r="G142" s="3" t="s">
        <v>512</v>
      </c>
      <c r="H142" s="3"/>
      <c r="I142" s="3"/>
      <c r="J142" s="3"/>
      <c r="K142" s="3"/>
      <c r="L142" s="3"/>
      <c r="M142" s="3"/>
      <c r="N142" s="3"/>
      <c r="O142" s="3"/>
      <c r="P142" s="3"/>
      <c r="Q142" s="3"/>
      <c r="R142" s="3"/>
      <c r="S142" s="3"/>
      <c r="T142" s="3"/>
      <c r="U142" s="3"/>
      <c r="V142" s="3"/>
      <c r="W142" s="3"/>
      <c r="X142" s="3"/>
      <c r="Y142" s="3"/>
      <c r="Z142" s="3"/>
      <c r="AA142" s="3"/>
      <c r="AB142" s="3"/>
      <c r="AC142" s="3"/>
    </row>
    <row r="143" spans="1:29" x14ac:dyDescent="0.15">
      <c r="A143" s="3"/>
      <c r="B143" s="3"/>
      <c r="C143" s="32">
        <f t="shared" si="8"/>
        <v>220</v>
      </c>
      <c r="D143" s="34">
        <f t="shared" si="9"/>
        <v>-12.700000000000001</v>
      </c>
      <c r="E143" s="16">
        <f t="shared" si="10"/>
        <v>-0.7</v>
      </c>
      <c r="F143" s="3"/>
      <c r="G143" s="3" t="s">
        <v>512</v>
      </c>
      <c r="H143" s="3"/>
      <c r="I143" s="3"/>
      <c r="J143" s="3"/>
      <c r="K143" s="3"/>
      <c r="L143" s="3"/>
      <c r="M143" s="3"/>
      <c r="N143" s="3"/>
      <c r="O143" s="3"/>
      <c r="P143" s="3"/>
      <c r="Q143" s="3"/>
      <c r="R143" s="3"/>
      <c r="S143" s="3"/>
      <c r="T143" s="3"/>
      <c r="U143" s="3"/>
      <c r="V143" s="3"/>
      <c r="W143" s="3"/>
      <c r="X143" s="3"/>
      <c r="Y143" s="3"/>
      <c r="Z143" s="3"/>
      <c r="AA143" s="3"/>
      <c r="AB143" s="3"/>
      <c r="AC143" s="3"/>
    </row>
    <row r="144" spans="1:29" x14ac:dyDescent="0.15">
      <c r="A144" s="3"/>
      <c r="B144" s="3"/>
      <c r="C144" s="32">
        <f t="shared" si="8"/>
        <v>225</v>
      </c>
      <c r="D144" s="34">
        <f t="shared" si="9"/>
        <v>-11.668750000000001</v>
      </c>
      <c r="E144" s="16">
        <f t="shared" si="10"/>
        <v>-1.01875</v>
      </c>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x14ac:dyDescent="0.15">
      <c r="A145" s="3"/>
      <c r="B145" s="3"/>
      <c r="C145" s="32">
        <f t="shared" si="8"/>
        <v>230</v>
      </c>
      <c r="D145" s="34">
        <f t="shared" si="9"/>
        <v>-10.675000000000001</v>
      </c>
      <c r="E145" s="16">
        <f t="shared" si="10"/>
        <v>-1.375</v>
      </c>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x14ac:dyDescent="0.15">
      <c r="A146" s="3"/>
      <c r="B146" s="3"/>
      <c r="C146" s="32">
        <f t="shared" si="8"/>
        <v>235</v>
      </c>
      <c r="D146" s="34">
        <f t="shared" si="9"/>
        <v>-9.71875</v>
      </c>
      <c r="E146" s="16">
        <f t="shared" si="10"/>
        <v>-1.7687500000000003</v>
      </c>
      <c r="F146" s="3" t="s">
        <v>512</v>
      </c>
      <c r="G146" s="3"/>
      <c r="H146" s="3"/>
      <c r="I146" s="3"/>
      <c r="J146" s="3"/>
      <c r="K146" s="3"/>
      <c r="L146" s="3"/>
      <c r="M146" s="3"/>
      <c r="N146" s="3"/>
      <c r="O146" s="3"/>
      <c r="P146" s="3"/>
      <c r="Q146" s="3"/>
      <c r="R146" s="3"/>
      <c r="S146" s="3"/>
      <c r="T146" s="3"/>
      <c r="U146" s="3"/>
      <c r="V146" s="3"/>
      <c r="W146" s="3"/>
      <c r="X146" s="3"/>
      <c r="Y146" s="3"/>
      <c r="Z146" s="3"/>
      <c r="AA146" s="3"/>
      <c r="AB146" s="3"/>
      <c r="AC146" s="3"/>
    </row>
    <row r="147" spans="1:29" x14ac:dyDescent="0.15">
      <c r="A147" s="3"/>
      <c r="B147" s="3"/>
      <c r="C147" s="32">
        <f t="shared" si="8"/>
        <v>240</v>
      </c>
      <c r="D147" s="34">
        <f t="shared" si="9"/>
        <v>-8.8000000000000007</v>
      </c>
      <c r="E147" s="16">
        <f t="shared" si="10"/>
        <v>-2.2000000000000002</v>
      </c>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x14ac:dyDescent="0.15">
      <c r="A148" s="3"/>
      <c r="B148" s="3"/>
      <c r="C148" s="32">
        <f t="shared" si="8"/>
        <v>245</v>
      </c>
      <c r="D148" s="34">
        <f t="shared" si="9"/>
        <v>-7.9187500000000011</v>
      </c>
      <c r="E148" s="16">
        <f t="shared" si="10"/>
        <v>-2.6687500000000002</v>
      </c>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x14ac:dyDescent="0.15">
      <c r="A149" s="3"/>
      <c r="B149" s="3"/>
      <c r="C149" s="32">
        <f t="shared" si="8"/>
        <v>250</v>
      </c>
      <c r="D149" s="34">
        <f t="shared" si="9"/>
        <v>-7.0750000000000011</v>
      </c>
      <c r="E149" s="16">
        <f t="shared" si="10"/>
        <v>-3.1750000000000003</v>
      </c>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x14ac:dyDescent="0.15">
      <c r="A150" s="3"/>
      <c r="B150" s="3"/>
      <c r="C150" s="32">
        <f t="shared" si="8"/>
        <v>255</v>
      </c>
      <c r="D150" s="34">
        <f t="shared" si="9"/>
        <v>-6.2687500000000007</v>
      </c>
      <c r="E150" s="16">
        <f t="shared" si="10"/>
        <v>-3.71875</v>
      </c>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x14ac:dyDescent="0.15">
      <c r="A151" s="3"/>
      <c r="B151" s="3"/>
      <c r="C151" s="32">
        <f t="shared" si="8"/>
        <v>260</v>
      </c>
      <c r="D151" s="34">
        <f t="shared" si="9"/>
        <v>-5.5</v>
      </c>
      <c r="E151" s="16">
        <f t="shared" si="10"/>
        <v>-4.3</v>
      </c>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x14ac:dyDescent="0.15">
      <c r="A152" s="3"/>
      <c r="B152" s="3"/>
      <c r="C152" s="32">
        <f t="shared" si="8"/>
        <v>265</v>
      </c>
      <c r="D152" s="34">
        <f t="shared" si="9"/>
        <v>-4.7687499999999998</v>
      </c>
      <c r="E152" s="16">
        <f t="shared" si="10"/>
        <v>-4.9187500000000002</v>
      </c>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x14ac:dyDescent="0.15">
      <c r="A153" s="3"/>
      <c r="B153" s="3"/>
      <c r="C153" s="32">
        <f t="shared" si="8"/>
        <v>270</v>
      </c>
      <c r="D153" s="34">
        <f t="shared" si="9"/>
        <v>-4.0750000000000002</v>
      </c>
      <c r="E153" s="16">
        <f t="shared" si="10"/>
        <v>-5.5750000000000002</v>
      </c>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x14ac:dyDescent="0.15">
      <c r="A154" s="3"/>
      <c r="B154" s="3"/>
      <c r="C154" s="32">
        <f t="shared" si="8"/>
        <v>275</v>
      </c>
      <c r="D154" s="34">
        <f t="shared" si="9"/>
        <v>-3.4187500000000002</v>
      </c>
      <c r="E154" s="16">
        <f t="shared" si="10"/>
        <v>-6.2687499999999998</v>
      </c>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x14ac:dyDescent="0.15">
      <c r="A155" s="3"/>
      <c r="B155" s="3"/>
      <c r="C155" s="32">
        <f t="shared" si="8"/>
        <v>280</v>
      </c>
      <c r="D155" s="34">
        <f t="shared" si="9"/>
        <v>-2.8</v>
      </c>
      <c r="E155" s="16">
        <f t="shared" si="10"/>
        <v>-7</v>
      </c>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x14ac:dyDescent="0.15">
      <c r="A156" s="3"/>
      <c r="B156" s="3"/>
      <c r="C156" s="32">
        <f t="shared" si="8"/>
        <v>285</v>
      </c>
      <c r="D156" s="34">
        <f t="shared" si="9"/>
        <v>-2.21875</v>
      </c>
      <c r="E156" s="16">
        <f t="shared" si="10"/>
        <v>-7.7687500000000007</v>
      </c>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x14ac:dyDescent="0.15">
      <c r="A157" s="3"/>
      <c r="B157" s="3"/>
      <c r="C157" s="32">
        <f t="shared" si="8"/>
        <v>290</v>
      </c>
      <c r="D157" s="34">
        <f t="shared" si="9"/>
        <v>-1.6750000000000003</v>
      </c>
      <c r="E157" s="16">
        <f t="shared" si="10"/>
        <v>-8.5750000000000011</v>
      </c>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x14ac:dyDescent="0.15">
      <c r="A158" s="3"/>
      <c r="B158" s="3"/>
      <c r="C158" s="32">
        <f t="shared" si="8"/>
        <v>295</v>
      </c>
      <c r="D158" s="34">
        <f t="shared" si="9"/>
        <v>-1.1687500000000002</v>
      </c>
      <c r="E158" s="16">
        <f t="shared" si="10"/>
        <v>-9.4187500000000011</v>
      </c>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x14ac:dyDescent="0.15">
      <c r="A159" s="3"/>
      <c r="B159" s="3"/>
      <c r="C159" s="32">
        <f t="shared" si="8"/>
        <v>300</v>
      </c>
      <c r="D159" s="34">
        <f t="shared" si="9"/>
        <v>-0.70000000000000018</v>
      </c>
      <c r="E159" s="16">
        <f t="shared" si="10"/>
        <v>-10.3</v>
      </c>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x14ac:dyDescent="0.15">
      <c r="A160" s="3"/>
      <c r="B160" s="3"/>
      <c r="C160" s="32">
        <f t="shared" si="8"/>
        <v>305</v>
      </c>
      <c r="D160" s="34">
        <f t="shared" si="9"/>
        <v>-0.26875000000000027</v>
      </c>
      <c r="E160" s="16">
        <f t="shared" si="10"/>
        <v>-11.21875</v>
      </c>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x14ac:dyDescent="0.15">
      <c r="A161" s="3"/>
      <c r="B161" s="3"/>
      <c r="C161" s="32">
        <f t="shared" si="8"/>
        <v>310</v>
      </c>
      <c r="D161" s="34">
        <f t="shared" si="9"/>
        <v>0.125</v>
      </c>
      <c r="E161" s="16">
        <f t="shared" si="10"/>
        <v>-12.175000000000001</v>
      </c>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x14ac:dyDescent="0.15">
      <c r="A162" s="3"/>
      <c r="B162" s="3"/>
      <c r="C162" s="32">
        <f t="shared" si="8"/>
        <v>315</v>
      </c>
      <c r="D162" s="34">
        <f t="shared" si="9"/>
        <v>0.48124999999999996</v>
      </c>
      <c r="E162" s="16">
        <f t="shared" si="10"/>
        <v>-13.168750000000001</v>
      </c>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x14ac:dyDescent="0.15">
      <c r="A163" s="3"/>
      <c r="B163" s="3"/>
      <c r="C163" s="32">
        <f t="shared" si="8"/>
        <v>320</v>
      </c>
      <c r="D163" s="34">
        <f t="shared" si="9"/>
        <v>0.8</v>
      </c>
      <c r="E163" s="16">
        <f t="shared" si="10"/>
        <v>-14.200000000000001</v>
      </c>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x14ac:dyDescent="0.15">
      <c r="A164" s="3"/>
      <c r="B164" s="3"/>
      <c r="C164" s="32">
        <f t="shared" si="8"/>
        <v>325</v>
      </c>
      <c r="D164" s="34">
        <f t="shared" si="9"/>
        <v>1.0812499999999998</v>
      </c>
      <c r="E164" s="16">
        <f t="shared" si="10"/>
        <v>-15.268750000000001</v>
      </c>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x14ac:dyDescent="0.15">
      <c r="A165" s="3"/>
      <c r="B165" s="3"/>
      <c r="C165" s="32">
        <f t="shared" si="8"/>
        <v>330</v>
      </c>
      <c r="D165" s="34">
        <f t="shared" si="9"/>
        <v>1.325</v>
      </c>
      <c r="E165" s="16">
        <f t="shared" si="10"/>
        <v>-16.375</v>
      </c>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x14ac:dyDescent="0.15">
      <c r="A166" s="3"/>
      <c r="B166" s="3"/>
      <c r="C166" s="32">
        <f t="shared" si="8"/>
        <v>335</v>
      </c>
      <c r="D166" s="34">
        <f t="shared" si="9"/>
        <v>1.53125</v>
      </c>
      <c r="E166" s="16">
        <f t="shared" si="10"/>
        <v>-17.518750000000001</v>
      </c>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x14ac:dyDescent="0.15">
      <c r="A167" s="3"/>
      <c r="B167" s="3"/>
      <c r="C167" s="32">
        <f t="shared" si="8"/>
        <v>340</v>
      </c>
      <c r="D167" s="34">
        <f t="shared" si="9"/>
        <v>1.7</v>
      </c>
      <c r="E167" s="16">
        <f t="shared" si="10"/>
        <v>-18.7</v>
      </c>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x14ac:dyDescent="0.15">
      <c r="A168" s="3"/>
      <c r="B168" s="3"/>
      <c r="C168" s="32">
        <f t="shared" si="8"/>
        <v>345</v>
      </c>
      <c r="D168" s="34">
        <f t="shared" si="9"/>
        <v>1.83125</v>
      </c>
      <c r="E168" s="16">
        <f t="shared" si="10"/>
        <v>-19.918749999999999</v>
      </c>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x14ac:dyDescent="0.15">
      <c r="A169" s="3"/>
      <c r="B169" s="3"/>
      <c r="C169" s="32">
        <f t="shared" si="8"/>
        <v>350</v>
      </c>
      <c r="D169" s="34">
        <f t="shared" si="9"/>
        <v>1.925</v>
      </c>
      <c r="E169" s="16">
        <f t="shared" si="10"/>
        <v>-21.175000000000001</v>
      </c>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x14ac:dyDescent="0.15">
      <c r="A170" s="3"/>
      <c r="B170" s="3"/>
      <c r="C170" s="32">
        <f t="shared" si="8"/>
        <v>355</v>
      </c>
      <c r="D170" s="34">
        <f t="shared" si="9"/>
        <v>1.98125</v>
      </c>
      <c r="E170" s="16">
        <f t="shared" si="10"/>
        <v>-22.46875</v>
      </c>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x14ac:dyDescent="0.15">
      <c r="A171" s="3"/>
      <c r="B171" s="3"/>
      <c r="C171" s="32">
        <v>360</v>
      </c>
      <c r="D171" s="34">
        <f t="shared" si="9"/>
        <v>2</v>
      </c>
      <c r="E171" s="16">
        <f>0.5-0.00075*-(180-C171)^2</f>
        <v>-23.8</v>
      </c>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x14ac:dyDescent="0.15">
      <c r="A172" s="3"/>
      <c r="B172" s="3"/>
      <c r="C172" s="32"/>
      <c r="D172" s="34"/>
      <c r="E172" s="16"/>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x14ac:dyDescent="0.15">
      <c r="A173" s="3"/>
      <c r="B173" s="3"/>
      <c r="C173" s="32"/>
      <c r="D173" s="34"/>
      <c r="E173" s="16"/>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x14ac:dyDescent="0.15">
      <c r="A174" s="3"/>
      <c r="B174" s="32" t="s">
        <v>512</v>
      </c>
      <c r="C174" s="3"/>
      <c r="D174" s="610" t="s">
        <v>788</v>
      </c>
      <c r="E174" s="611" t="s">
        <v>882</v>
      </c>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x14ac:dyDescent="0.15">
      <c r="A175" s="3"/>
      <c r="B175" s="604" t="s">
        <v>366</v>
      </c>
      <c r="C175" s="452" t="s">
        <v>881</v>
      </c>
      <c r="D175" s="609" t="s">
        <v>883</v>
      </c>
      <c r="E175" s="609" t="s">
        <v>883</v>
      </c>
      <c r="M175" s="3"/>
      <c r="N175" s="3"/>
      <c r="O175" s="3"/>
      <c r="P175" s="3"/>
      <c r="Q175" s="3"/>
      <c r="R175" s="3"/>
      <c r="S175" s="3"/>
      <c r="T175" s="3"/>
      <c r="U175" s="3"/>
      <c r="V175" s="3"/>
      <c r="W175" s="3"/>
      <c r="X175" s="3"/>
      <c r="Y175" s="3"/>
      <c r="Z175" s="3"/>
      <c r="AA175" s="3"/>
      <c r="AB175" s="3"/>
      <c r="AC175" s="3"/>
    </row>
    <row r="176" spans="1:29" x14ac:dyDescent="0.15">
      <c r="A176" s="3"/>
      <c r="B176" s="32"/>
      <c r="C176" s="32">
        <v>0</v>
      </c>
      <c r="D176" s="34">
        <f>4-1.5*((4-10*LOG10(1.256*(1+COS(RADIANS(C176))))))</f>
        <v>4.0002945259773774</v>
      </c>
      <c r="E176" s="32"/>
      <c r="M176" s="3"/>
      <c r="N176" s="3"/>
      <c r="O176" s="3"/>
      <c r="P176" s="3"/>
      <c r="Q176" s="3"/>
      <c r="R176" s="3"/>
      <c r="S176" s="3"/>
      <c r="T176" s="3"/>
      <c r="U176" s="3"/>
      <c r="V176" s="3"/>
      <c r="W176" s="3"/>
      <c r="X176" s="3"/>
      <c r="Y176" s="3"/>
      <c r="Z176" s="3"/>
      <c r="AA176" s="3"/>
      <c r="AB176" s="3"/>
      <c r="AC176" s="3"/>
    </row>
    <row r="177" spans="1:29" x14ac:dyDescent="0.15">
      <c r="A177" s="3"/>
      <c r="B177" s="32"/>
      <c r="C177" s="32">
        <f>C176+5</f>
        <v>5</v>
      </c>
      <c r="D177" s="34">
        <f t="shared" ref="D177:D211" si="11">4-1.5*((4-10*LOG10(1.256*(1+COS(RADIANS(C177))))))</f>
        <v>3.9878880574860744</v>
      </c>
      <c r="E177" s="32"/>
      <c r="M177" s="3"/>
      <c r="N177" s="3"/>
      <c r="O177" s="3"/>
      <c r="P177" s="3"/>
      <c r="Q177" s="3"/>
      <c r="R177" s="3"/>
      <c r="S177" s="3"/>
      <c r="T177" s="3"/>
      <c r="U177" s="3"/>
      <c r="V177" s="3"/>
      <c r="W177" s="3"/>
      <c r="X177" s="3"/>
      <c r="Y177" s="3"/>
      <c r="Z177" s="3"/>
      <c r="AA177" s="3"/>
      <c r="AB177" s="3"/>
      <c r="AC177" s="3"/>
    </row>
    <row r="178" spans="1:29" x14ac:dyDescent="0.15">
      <c r="A178" s="3"/>
      <c r="B178" s="32"/>
      <c r="C178" s="32">
        <f t="shared" ref="C178:C212" si="12">C177+5</f>
        <v>10</v>
      </c>
      <c r="D178" s="34">
        <f t="shared" si="11"/>
        <v>3.9506213065023497</v>
      </c>
      <c r="E178" s="32"/>
      <c r="M178" s="3"/>
      <c r="N178" s="3"/>
      <c r="O178" s="3"/>
      <c r="P178" s="3"/>
      <c r="Q178" s="3"/>
      <c r="R178" s="3"/>
      <c r="S178" s="3"/>
      <c r="T178" s="3"/>
      <c r="U178" s="3"/>
      <c r="V178" s="3"/>
      <c r="W178" s="3"/>
      <c r="X178" s="3"/>
      <c r="Y178" s="3"/>
      <c r="Z178" s="3"/>
      <c r="AA178" s="3"/>
      <c r="AB178" s="3"/>
      <c r="AC178" s="3"/>
    </row>
    <row r="179" spans="1:29" x14ac:dyDescent="0.15">
      <c r="A179" s="3"/>
      <c r="B179" s="32"/>
      <c r="C179" s="32">
        <f t="shared" si="12"/>
        <v>15</v>
      </c>
      <c r="D179" s="34">
        <f t="shared" si="11"/>
        <v>3.8883515113557801</v>
      </c>
      <c r="E179" s="32"/>
      <c r="M179" s="3"/>
      <c r="N179" s="3"/>
      <c r="O179" s="3"/>
      <c r="P179" s="3"/>
      <c r="Q179" s="3"/>
      <c r="R179" s="3"/>
      <c r="S179" s="3"/>
      <c r="T179" s="3"/>
      <c r="U179" s="3"/>
      <c r="V179" s="3"/>
      <c r="W179" s="3"/>
      <c r="X179" s="3"/>
      <c r="Y179" s="3"/>
      <c r="Z179" s="3"/>
      <c r="AA179" s="3"/>
      <c r="AB179" s="3"/>
      <c r="AC179" s="3"/>
    </row>
    <row r="180" spans="1:29" x14ac:dyDescent="0.15">
      <c r="A180" s="3"/>
      <c r="B180" s="32"/>
      <c r="C180" s="32">
        <f t="shared" si="12"/>
        <v>20</v>
      </c>
      <c r="D180" s="34">
        <f t="shared" si="11"/>
        <v>3.8008382950754434</v>
      </c>
      <c r="E180" s="32"/>
      <c r="M180" s="3"/>
      <c r="N180" s="3"/>
      <c r="O180" s="3"/>
      <c r="P180" s="3"/>
      <c r="Q180" s="3"/>
      <c r="R180" s="3"/>
      <c r="S180" s="3"/>
      <c r="T180" s="3"/>
      <c r="U180" s="3"/>
      <c r="V180" s="3"/>
      <c r="W180" s="3"/>
      <c r="X180" s="3"/>
      <c r="Y180" s="3"/>
      <c r="Z180" s="3"/>
      <c r="AA180" s="3"/>
      <c r="AB180" s="3"/>
      <c r="AC180" s="3"/>
    </row>
    <row r="181" spans="1:29" x14ac:dyDescent="0.15">
      <c r="A181" s="3"/>
      <c r="B181" s="32"/>
      <c r="C181" s="32">
        <f t="shared" si="12"/>
        <v>25</v>
      </c>
      <c r="D181" s="34">
        <f t="shared" si="11"/>
        <v>3.6877399197602871</v>
      </c>
      <c r="E181" s="32" t="s">
        <v>512</v>
      </c>
      <c r="M181" s="3"/>
      <c r="N181" s="3"/>
      <c r="O181" s="3"/>
      <c r="P181" s="3"/>
      <c r="Q181" s="3"/>
      <c r="R181" s="3"/>
      <c r="S181" s="3"/>
      <c r="T181" s="3"/>
      <c r="U181" s="3"/>
      <c r="V181" s="3"/>
      <c r="W181" s="3"/>
      <c r="X181" s="3"/>
      <c r="Y181" s="3"/>
      <c r="Z181" s="3"/>
      <c r="AA181" s="3"/>
      <c r="AB181" s="3"/>
      <c r="AC181" s="3"/>
    </row>
    <row r="182" spans="1:29" x14ac:dyDescent="0.15">
      <c r="A182" s="3"/>
      <c r="B182" s="32"/>
      <c r="C182" s="32">
        <f t="shared" si="12"/>
        <v>30</v>
      </c>
      <c r="D182" s="34">
        <f t="shared" si="11"/>
        <v>3.5486078690583334</v>
      </c>
      <c r="E182" s="32"/>
      <c r="M182" s="3"/>
      <c r="N182" s="3"/>
      <c r="O182" s="3"/>
      <c r="P182" s="3"/>
      <c r="Q182" s="3"/>
      <c r="R182" s="3"/>
      <c r="S182" s="3"/>
      <c r="T182" s="3"/>
      <c r="U182" s="3"/>
      <c r="V182" s="3"/>
      <c r="W182" s="3"/>
      <c r="X182" s="3"/>
      <c r="Y182" s="3"/>
      <c r="Z182" s="3"/>
      <c r="AA182" s="3"/>
      <c r="AB182" s="3"/>
      <c r="AC182" s="3"/>
    </row>
    <row r="183" spans="1:29" x14ac:dyDescent="0.15">
      <c r="A183" s="3"/>
      <c r="B183" s="32"/>
      <c r="C183" s="32">
        <f t="shared" si="12"/>
        <v>35</v>
      </c>
      <c r="D183" s="34">
        <f t="shared" si="11"/>
        <v>3.3828795731450212</v>
      </c>
      <c r="E183" s="32"/>
      <c r="M183" s="3"/>
      <c r="N183" s="3"/>
      <c r="O183" s="3"/>
      <c r="P183" s="3"/>
      <c r="Q183" s="3"/>
      <c r="R183" s="3"/>
      <c r="S183" s="3"/>
      <c r="T183" s="3"/>
      <c r="U183" s="3"/>
      <c r="V183" s="3"/>
      <c r="W183" s="3"/>
      <c r="X183" s="3"/>
      <c r="Y183" s="3"/>
      <c r="Z183" s="3"/>
      <c r="AA183" s="3"/>
      <c r="AB183" s="3"/>
      <c r="AC183" s="3"/>
    </row>
    <row r="184" spans="1:29" x14ac:dyDescent="0.15">
      <c r="A184" s="3"/>
      <c r="B184" s="32"/>
      <c r="C184" s="32">
        <f t="shared" si="12"/>
        <v>40</v>
      </c>
      <c r="D184" s="34">
        <f t="shared" si="11"/>
        <v>3.1898690192654722</v>
      </c>
      <c r="E184" s="32"/>
      <c r="M184" s="3"/>
      <c r="N184" s="3"/>
      <c r="O184" s="3"/>
      <c r="P184" s="3"/>
      <c r="Q184" s="3"/>
      <c r="R184" s="3"/>
      <c r="S184" s="3"/>
      <c r="T184" s="3"/>
      <c r="U184" s="3"/>
      <c r="V184" s="3"/>
      <c r="W184" s="3"/>
      <c r="X184" s="3"/>
      <c r="Y184" s="3"/>
      <c r="Z184" s="3"/>
      <c r="AA184" s="3"/>
      <c r="AB184" s="3"/>
      <c r="AC184" s="3"/>
    </row>
    <row r="185" spans="1:29" x14ac:dyDescent="0.15">
      <c r="A185" s="3"/>
      <c r="B185" s="32"/>
      <c r="C185" s="32">
        <f t="shared" si="12"/>
        <v>45</v>
      </c>
      <c r="D185" s="34">
        <f t="shared" si="11"/>
        <v>2.9687549036057468</v>
      </c>
      <c r="E185" s="32"/>
      <c r="H185" t="s">
        <v>512</v>
      </c>
      <c r="I185" t="s">
        <v>368</v>
      </c>
      <c r="M185" s="3"/>
      <c r="N185" s="3"/>
      <c r="O185" s="3"/>
      <c r="P185" s="3"/>
      <c r="Q185" s="3"/>
      <c r="R185" s="3"/>
      <c r="S185" s="3"/>
      <c r="T185" s="3"/>
      <c r="U185" s="3"/>
      <c r="V185" s="3"/>
      <c r="W185" s="3"/>
      <c r="X185" s="3"/>
      <c r="Y185" s="3"/>
      <c r="Z185" s="3"/>
      <c r="AA185" s="3"/>
      <c r="AB185" s="3"/>
      <c r="AC185" s="3"/>
    </row>
    <row r="186" spans="1:29" x14ac:dyDescent="0.15">
      <c r="A186" s="3"/>
      <c r="B186" s="32"/>
      <c r="C186" s="32">
        <f t="shared" si="12"/>
        <v>50</v>
      </c>
      <c r="D186" s="34">
        <f t="shared" si="11"/>
        <v>2.7185658705693321</v>
      </c>
      <c r="E186" s="32"/>
      <c r="J186" t="s">
        <v>364</v>
      </c>
      <c r="M186" s="3"/>
      <c r="N186" s="3"/>
      <c r="O186" s="3"/>
      <c r="P186" s="3"/>
      <c r="Q186" s="3"/>
      <c r="R186" s="3"/>
      <c r="S186" s="3"/>
      <c r="T186" s="3"/>
      <c r="U186" s="3"/>
      <c r="V186" s="3"/>
      <c r="W186" s="3"/>
      <c r="X186" s="3"/>
      <c r="Y186" s="3"/>
      <c r="Z186" s="3"/>
      <c r="AA186" s="3"/>
      <c r="AB186" s="3"/>
      <c r="AC186" s="3"/>
    </row>
    <row r="187" spans="1:29" x14ac:dyDescent="0.15">
      <c r="A187" s="3"/>
      <c r="B187" s="32"/>
      <c r="C187" s="32">
        <f t="shared" si="12"/>
        <v>55</v>
      </c>
      <c r="D187" s="34">
        <f t="shared" si="11"/>
        <v>2.4381622447440372</v>
      </c>
      <c r="E187" s="32"/>
      <c r="M187" s="3"/>
      <c r="N187" s="3"/>
      <c r="O187" s="3"/>
      <c r="P187" s="3"/>
      <c r="Q187" s="3"/>
      <c r="R187" s="3"/>
      <c r="S187" s="3"/>
      <c r="T187" s="3"/>
      <c r="U187" s="3"/>
      <c r="V187" s="3"/>
      <c r="W187" s="3"/>
      <c r="X187" s="3"/>
      <c r="Y187" s="3"/>
      <c r="Z187" s="3"/>
      <c r="AA187" s="3"/>
      <c r="AB187" s="3"/>
      <c r="AC187" s="3"/>
    </row>
    <row r="188" spans="1:29" x14ac:dyDescent="0.15">
      <c r="A188" s="3"/>
      <c r="B188" s="32"/>
      <c r="C188" s="32">
        <f t="shared" si="12"/>
        <v>60</v>
      </c>
      <c r="D188" s="34">
        <f t="shared" si="11"/>
        <v>2.1262134768528775</v>
      </c>
      <c r="E188" s="32"/>
      <c r="M188" s="3"/>
      <c r="N188" s="3"/>
      <c r="O188" s="3"/>
      <c r="P188" s="3"/>
      <c r="Q188" s="3"/>
      <c r="R188" s="3"/>
      <c r="S188" s="3"/>
      <c r="T188" s="3"/>
      <c r="U188" s="3"/>
      <c r="V188" s="3"/>
      <c r="W188" s="3"/>
      <c r="X188" s="3"/>
      <c r="Y188" s="3"/>
      <c r="Z188" s="3"/>
      <c r="AA188" s="3"/>
      <c r="AB188" s="3"/>
      <c r="AC188" s="3"/>
    </row>
    <row r="189" spans="1:29" x14ac:dyDescent="0.15">
      <c r="A189" s="3"/>
      <c r="B189" s="32"/>
      <c r="C189" s="32">
        <f t="shared" si="12"/>
        <v>65</v>
      </c>
      <c r="D189" s="34">
        <f t="shared" si="11"/>
        <v>1.7811702806787064</v>
      </c>
      <c r="E189" s="32"/>
      <c r="M189" s="3"/>
      <c r="N189" s="3"/>
      <c r="O189" s="3"/>
      <c r="P189" s="3"/>
      <c r="Q189" s="3"/>
      <c r="R189" s="3"/>
      <c r="S189" s="3"/>
      <c r="T189" s="3"/>
      <c r="U189" s="3"/>
      <c r="V189" s="3"/>
      <c r="W189" s="3"/>
      <c r="X189" s="3"/>
      <c r="Y189" s="3"/>
      <c r="Z189" s="3"/>
      <c r="AA189" s="3"/>
      <c r="AB189" s="3"/>
      <c r="AC189" s="3"/>
    </row>
    <row r="190" spans="1:29" x14ac:dyDescent="0.15">
      <c r="A190" s="3"/>
      <c r="B190" s="32"/>
      <c r="C190" s="32">
        <f t="shared" si="12"/>
        <v>70</v>
      </c>
      <c r="D190" s="34">
        <f t="shared" si="11"/>
        <v>1.4012301087231167</v>
      </c>
      <c r="E190" s="32"/>
      <c r="M190" s="3"/>
      <c r="N190" s="3"/>
      <c r="O190" s="3"/>
      <c r="P190" s="3"/>
      <c r="Q190" s="3"/>
      <c r="R190" s="3"/>
      <c r="S190" s="3"/>
      <c r="T190" s="3"/>
      <c r="U190" s="3"/>
      <c r="V190" s="3"/>
      <c r="W190" s="3"/>
      <c r="X190" s="3"/>
      <c r="Y190" s="3"/>
      <c r="Z190" s="3"/>
      <c r="AA190" s="3"/>
      <c r="AB190" s="3"/>
      <c r="AC190" s="3"/>
    </row>
    <row r="191" spans="1:29" x14ac:dyDescent="0.15">
      <c r="A191" s="3"/>
      <c r="B191" s="32"/>
      <c r="C191" s="32">
        <f t="shared" si="12"/>
        <v>75</v>
      </c>
      <c r="D191" s="34">
        <f t="shared" si="11"/>
        <v>0.98429416422027893</v>
      </c>
      <c r="E191" s="32"/>
      <c r="M191" s="3"/>
      <c r="N191" s="3"/>
      <c r="O191" s="3"/>
      <c r="P191" s="3"/>
      <c r="Q191" s="3"/>
      <c r="R191" s="3"/>
      <c r="S191" s="3"/>
      <c r="T191" s="3"/>
      <c r="U191" s="3"/>
      <c r="V191" s="3"/>
      <c r="W191" s="3"/>
      <c r="X191" s="3"/>
      <c r="Y191" s="3"/>
      <c r="Z191" s="3"/>
      <c r="AA191" s="3"/>
      <c r="AB191" s="3"/>
      <c r="AC191" s="3"/>
    </row>
    <row r="192" spans="1:29" x14ac:dyDescent="0.15">
      <c r="A192" s="3"/>
      <c r="B192" s="32"/>
      <c r="C192" s="32">
        <f t="shared" si="12"/>
        <v>80</v>
      </c>
      <c r="D192" s="34">
        <f t="shared" si="11"/>
        <v>0.52791352258296209</v>
      </c>
      <c r="E192" s="32"/>
      <c r="M192" s="3"/>
      <c r="N192" s="3"/>
      <c r="O192" s="3"/>
      <c r="P192" s="3"/>
      <c r="Q192" s="3"/>
      <c r="R192" s="3"/>
      <c r="S192" s="3"/>
      <c r="T192" s="3"/>
      <c r="U192" s="3"/>
      <c r="V192" s="3"/>
      <c r="W192" s="3"/>
      <c r="X192" s="3"/>
      <c r="Y192" s="3"/>
      <c r="Z192" s="3"/>
      <c r="AA192" s="3"/>
      <c r="AB192" s="3"/>
      <c r="AC192" s="3"/>
    </row>
    <row r="193" spans="1:29" x14ac:dyDescent="0.15">
      <c r="A193" s="3"/>
      <c r="B193" s="32"/>
      <c r="C193" s="32">
        <f t="shared" si="12"/>
        <v>85</v>
      </c>
      <c r="D193" s="34">
        <f t="shared" si="11"/>
        <v>2.9221055497633763E-2</v>
      </c>
      <c r="E193" s="32"/>
      <c r="M193" s="3"/>
      <c r="N193" s="3"/>
      <c r="O193" s="3"/>
      <c r="P193" s="3"/>
      <c r="Q193" s="3"/>
      <c r="R193" s="3"/>
      <c r="S193" s="3"/>
      <c r="T193" s="3"/>
      <c r="U193" s="3"/>
      <c r="V193" s="3"/>
      <c r="W193" s="3"/>
      <c r="X193" s="3"/>
      <c r="Y193" s="3"/>
      <c r="Z193" s="3"/>
      <c r="AA193" s="3"/>
      <c r="AB193" s="3"/>
      <c r="AC193" s="3"/>
    </row>
    <row r="194" spans="1:29" x14ac:dyDescent="0.15">
      <c r="A194" s="3"/>
      <c r="B194" s="32"/>
      <c r="C194" s="32">
        <f t="shared" si="12"/>
        <v>90</v>
      </c>
      <c r="D194" s="34">
        <f t="shared" si="11"/>
        <v>-0.51515540898233958</v>
      </c>
      <c r="E194" s="32"/>
      <c r="M194" s="3"/>
      <c r="N194" s="3"/>
      <c r="O194" s="3"/>
      <c r="P194" s="3"/>
      <c r="Q194" s="3"/>
      <c r="R194" s="3"/>
      <c r="S194" s="3"/>
      <c r="T194" s="3"/>
      <c r="U194" s="3"/>
      <c r="V194" s="3"/>
      <c r="W194" s="3"/>
      <c r="X194" s="3"/>
      <c r="Y194" s="3"/>
      <c r="Z194" s="3"/>
      <c r="AA194" s="3"/>
      <c r="AB194" s="3"/>
      <c r="AC194" s="3"/>
    </row>
    <row r="195" spans="1:29" x14ac:dyDescent="0.15">
      <c r="A195" s="3"/>
      <c r="B195" s="32"/>
      <c r="C195" s="32">
        <f t="shared" si="12"/>
        <v>95</v>
      </c>
      <c r="D195" s="34">
        <f t="shared" si="11"/>
        <v>-1.1092050929373443</v>
      </c>
      <c r="E195" s="32"/>
      <c r="M195" s="3"/>
      <c r="N195" s="3"/>
      <c r="O195" s="3"/>
      <c r="P195" s="3"/>
      <c r="Q195" s="3"/>
      <c r="R195" s="3"/>
      <c r="S195" s="3"/>
      <c r="T195" s="3"/>
      <c r="U195" s="3"/>
      <c r="V195" s="3"/>
      <c r="W195" s="3"/>
      <c r="X195" s="3"/>
      <c r="Y195" s="3"/>
      <c r="Z195" s="3"/>
      <c r="AA195" s="3"/>
      <c r="AB195" s="3"/>
      <c r="AC195" s="3"/>
    </row>
    <row r="196" spans="1:29" x14ac:dyDescent="0.15">
      <c r="A196" s="3"/>
      <c r="B196" s="32"/>
      <c r="C196" s="32">
        <f t="shared" si="12"/>
        <v>100</v>
      </c>
      <c r="D196" s="34">
        <f t="shared" si="11"/>
        <v>-1.7576805714495745</v>
      </c>
      <c r="E196" s="32"/>
      <c r="M196" s="3"/>
      <c r="N196" s="3"/>
      <c r="O196" s="3"/>
      <c r="P196" s="3"/>
      <c r="Q196" s="3"/>
      <c r="R196" s="3"/>
      <c r="S196" s="3"/>
      <c r="T196" s="3"/>
      <c r="U196" s="3"/>
      <c r="V196" s="3"/>
      <c r="W196" s="3"/>
      <c r="X196" s="3"/>
      <c r="Y196" s="3"/>
      <c r="Z196" s="3"/>
      <c r="AA196" s="3"/>
      <c r="AB196" s="3"/>
      <c r="AC196" s="3"/>
    </row>
    <row r="197" spans="1:29" x14ac:dyDescent="0.15">
      <c r="A197" s="3"/>
      <c r="B197" s="32"/>
      <c r="C197" s="32">
        <f t="shared" si="12"/>
        <v>105</v>
      </c>
      <c r="D197" s="34">
        <f t="shared" si="11"/>
        <v>-2.4662916391040044</v>
      </c>
      <c r="E197" s="32"/>
      <c r="M197" s="3"/>
      <c r="N197" s="3"/>
      <c r="O197" s="3"/>
      <c r="P197" s="3"/>
      <c r="Q197" s="3"/>
      <c r="R197" s="3"/>
      <c r="S197" s="3"/>
      <c r="T197" s="3"/>
      <c r="U197" s="3"/>
      <c r="V197" s="3"/>
      <c r="W197" s="3"/>
      <c r="X197" s="3"/>
      <c r="Y197" s="3"/>
      <c r="Z197" s="3"/>
      <c r="AA197" s="3"/>
      <c r="AB197" s="3"/>
      <c r="AC197" s="3"/>
    </row>
    <row r="198" spans="1:29" x14ac:dyDescent="0.15">
      <c r="A198" s="3"/>
      <c r="B198" s="32"/>
      <c r="C198" s="32">
        <f t="shared" si="12"/>
        <v>110</v>
      </c>
      <c r="D198" s="34">
        <f t="shared" si="11"/>
        <v>-3.2419664333997016</v>
      </c>
      <c r="E198" s="32"/>
      <c r="M198" s="3"/>
      <c r="N198" s="3"/>
      <c r="O198" s="3"/>
      <c r="P198" s="3"/>
      <c r="Q198" s="3"/>
      <c r="R198" s="3"/>
      <c r="S198" s="3"/>
      <c r="T198" s="3"/>
      <c r="U198" s="3"/>
      <c r="V198" s="3"/>
      <c r="W198" s="3"/>
      <c r="X198" s="3"/>
      <c r="Y198" s="3"/>
      <c r="Z198" s="3"/>
      <c r="AA198" s="3"/>
      <c r="AB198" s="3"/>
      <c r="AC198" s="3"/>
    </row>
    <row r="199" spans="1:29" x14ac:dyDescent="0.15">
      <c r="A199" s="3"/>
      <c r="B199" s="32"/>
      <c r="C199" s="32">
        <f t="shared" si="12"/>
        <v>115</v>
      </c>
      <c r="D199" s="34">
        <f t="shared" si="11"/>
        <v>-4.0932097540514292</v>
      </c>
      <c r="E199" s="32"/>
      <c r="M199" s="3"/>
      <c r="N199" s="3"/>
      <c r="O199" s="3"/>
      <c r="P199" s="3"/>
      <c r="Q199" s="3"/>
      <c r="R199" s="3"/>
      <c r="S199" s="3"/>
      <c r="T199" s="3"/>
      <c r="U199" s="3"/>
      <c r="V199" s="3"/>
      <c r="W199" s="3"/>
      <c r="X199" s="3"/>
      <c r="Y199" s="3"/>
      <c r="Z199" s="3"/>
      <c r="AA199" s="3"/>
      <c r="AB199" s="3"/>
      <c r="AC199" s="3"/>
    </row>
    <row r="200" spans="1:29" x14ac:dyDescent="0.15">
      <c r="A200" s="3"/>
      <c r="B200" s="32"/>
      <c r="C200" s="32">
        <f t="shared" si="12"/>
        <v>120</v>
      </c>
      <c r="D200" s="34">
        <f t="shared" si="11"/>
        <v>-5.0306053439420548</v>
      </c>
      <c r="E200" s="32"/>
      <c r="F200" s="3"/>
      <c r="G200" s="3"/>
      <c r="H200" s="3"/>
      <c r="I200" s="3"/>
      <c r="J200" s="3"/>
      <c r="K200" s="3"/>
      <c r="L200" s="3"/>
      <c r="M200" s="3"/>
      <c r="N200" s="3"/>
      <c r="O200" s="3"/>
      <c r="P200" s="3" t="s">
        <v>512</v>
      </c>
      <c r="Q200" s="3"/>
      <c r="R200" s="3"/>
      <c r="S200" s="3"/>
      <c r="T200" s="3"/>
      <c r="U200" s="3"/>
      <c r="V200" s="3"/>
      <c r="W200" s="3"/>
      <c r="X200" s="3"/>
      <c r="Y200" s="3"/>
      <c r="Z200" s="3"/>
      <c r="AA200" s="3"/>
      <c r="AB200" s="3"/>
      <c r="AC200" s="3"/>
    </row>
    <row r="201" spans="1:29" x14ac:dyDescent="0.15">
      <c r="A201" s="3"/>
      <c r="B201" s="32"/>
      <c r="C201" s="32">
        <f t="shared" si="12"/>
        <v>125</v>
      </c>
      <c r="D201" s="34">
        <f t="shared" si="11"/>
        <v>-6.0675374799629793</v>
      </c>
      <c r="E201" s="32"/>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x14ac:dyDescent="0.15">
      <c r="A202" s="3"/>
      <c r="B202" s="32"/>
      <c r="C202" s="32">
        <f t="shared" si="12"/>
        <v>130</v>
      </c>
      <c r="D202" s="34">
        <f t="shared" si="11"/>
        <v>-7.2212576919284306</v>
      </c>
      <c r="E202" s="32"/>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x14ac:dyDescent="0.15">
      <c r="A203" s="3"/>
      <c r="B203" s="32"/>
      <c r="C203" s="32">
        <f t="shared" si="12"/>
        <v>135</v>
      </c>
      <c r="D203" s="34">
        <f t="shared" si="11"/>
        <v>-8.5145156565301416</v>
      </c>
      <c r="E203" s="32"/>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x14ac:dyDescent="0.15">
      <c r="A204" s="3"/>
      <c r="B204" s="32"/>
      <c r="C204" s="32">
        <f t="shared" si="12"/>
        <v>140</v>
      </c>
      <c r="D204" s="34">
        <f t="shared" si="11"/>
        <v>-9.9781549346571019</v>
      </c>
      <c r="E204" s="32"/>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x14ac:dyDescent="0.15">
      <c r="A205" s="3"/>
      <c r="B205" s="32"/>
      <c r="C205" s="32">
        <f t="shared" si="12"/>
        <v>145</v>
      </c>
      <c r="D205" s="34">
        <f t="shared" si="11"/>
        <v>-11.655451350486784</v>
      </c>
      <c r="E205" s="32"/>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x14ac:dyDescent="0.15">
      <c r="A206" s="3"/>
      <c r="B206" s="32"/>
      <c r="C206" s="32">
        <f t="shared" si="12"/>
        <v>150</v>
      </c>
      <c r="D206" s="34">
        <f t="shared" si="11"/>
        <v>-13.60981855694245</v>
      </c>
      <c r="E206" s="32" t="s">
        <v>512</v>
      </c>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x14ac:dyDescent="0.15">
      <c r="A207" s="3"/>
      <c r="B207" s="32"/>
      <c r="C207" s="32">
        <f t="shared" si="12"/>
        <v>155</v>
      </c>
      <c r="D207" s="34">
        <f t="shared" si="11"/>
        <v>-15.939602955630772</v>
      </c>
      <c r="E207" s="32"/>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x14ac:dyDescent="0.15">
      <c r="A208" s="3"/>
      <c r="B208" s="32"/>
      <c r="C208" s="32">
        <f t="shared" si="12"/>
        <v>160</v>
      </c>
      <c r="D208" s="34">
        <f t="shared" si="11"/>
        <v>-18.809598573674599</v>
      </c>
      <c r="E208" s="32"/>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x14ac:dyDescent="0.15">
      <c r="A209" s="3"/>
      <c r="B209" s="32"/>
      <c r="C209" s="32">
        <f t="shared" si="12"/>
        <v>165</v>
      </c>
      <c r="D209" s="34">
        <f t="shared" si="11"/>
        <v>-22.528775412240272</v>
      </c>
      <c r="E209" s="32"/>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x14ac:dyDescent="0.15">
      <c r="A210" s="3"/>
      <c r="B210" s="32"/>
      <c r="C210" s="32">
        <f t="shared" si="12"/>
        <v>170</v>
      </c>
      <c r="D210" s="34">
        <f t="shared" si="11"/>
        <v>-27.790825224118993</v>
      </c>
      <c r="E210" s="32"/>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x14ac:dyDescent="0.15">
      <c r="A211" s="3"/>
      <c r="B211" s="32"/>
      <c r="C211" s="32">
        <f t="shared" si="12"/>
        <v>175</v>
      </c>
      <c r="D211" s="34">
        <f t="shared" si="11"/>
        <v>-36.809318625547164</v>
      </c>
      <c r="E211" s="32"/>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x14ac:dyDescent="0.15">
      <c r="A212" s="3"/>
      <c r="B212" s="32"/>
      <c r="C212" s="32">
        <f t="shared" si="12"/>
        <v>180</v>
      </c>
      <c r="D212" s="34">
        <v>-160</v>
      </c>
      <c r="E212" s="32"/>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4" thickBot="1" x14ac:dyDescent="0.2">
      <c r="A214" s="3"/>
      <c r="B214" s="32" t="s">
        <v>512</v>
      </c>
      <c r="C214" s="3"/>
      <c r="D214" s="610" t="s">
        <v>788</v>
      </c>
      <c r="E214" s="611" t="s">
        <v>882</v>
      </c>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x14ac:dyDescent="0.15">
      <c r="A215" s="3"/>
      <c r="B215" s="604" t="s">
        <v>367</v>
      </c>
      <c r="C215" s="452" t="s">
        <v>881</v>
      </c>
      <c r="D215" s="609" t="s">
        <v>883</v>
      </c>
      <c r="E215" s="612" t="s">
        <v>883</v>
      </c>
      <c r="G215" t="s">
        <v>512</v>
      </c>
      <c r="N215" s="601"/>
      <c r="O215" s="3"/>
      <c r="P215" s="3"/>
      <c r="Q215" s="3"/>
      <c r="R215" s="3"/>
      <c r="S215" s="3"/>
      <c r="T215" s="3"/>
      <c r="U215" s="3"/>
      <c r="V215" s="3"/>
      <c r="W215" s="3"/>
      <c r="X215" s="3"/>
      <c r="Y215" s="3"/>
      <c r="Z215" s="3"/>
      <c r="AA215" s="3"/>
      <c r="AB215" s="3"/>
      <c r="AC215" s="3"/>
    </row>
    <row r="216" spans="1:29" x14ac:dyDescent="0.15">
      <c r="A216" s="3"/>
      <c r="B216" s="3"/>
      <c r="C216" s="595">
        <v>1.0000000000000001E-5</v>
      </c>
      <c r="D216" s="606">
        <f>6-(-10*LOG10(3282.81*((SIN(RADIANS(C216*1.7724))^2)/((C216*1.7724)^2))))</f>
        <v>6.0000048287003951</v>
      </c>
      <c r="E216" s="32" t="s">
        <v>512</v>
      </c>
      <c r="N216" s="602"/>
      <c r="O216" s="3"/>
      <c r="P216" s="3"/>
      <c r="Q216" s="3"/>
      <c r="R216" s="3"/>
      <c r="S216" s="3"/>
      <c r="T216" s="3"/>
      <c r="U216" s="3"/>
      <c r="V216" s="3"/>
      <c r="W216" s="3"/>
      <c r="X216" s="3"/>
      <c r="Y216" s="3"/>
      <c r="Z216" s="3"/>
      <c r="AA216" s="3"/>
      <c r="AB216" s="3"/>
      <c r="AC216" s="3"/>
    </row>
    <row r="217" spans="1:29" x14ac:dyDescent="0.15">
      <c r="A217" s="3"/>
      <c r="B217" s="3"/>
      <c r="C217" s="595">
        <f>C216+5</f>
        <v>5.0000099999999996</v>
      </c>
      <c r="D217" s="606">
        <f t="shared" ref="D217:D252" si="13">6-(-10*LOG10(3282.81*((SIN(RADIANS(C217*1.7724))^2)/((C217*1.7724)^2))))</f>
        <v>5.9653447349382374</v>
      </c>
      <c r="E217" s="32" t="s">
        <v>512</v>
      </c>
      <c r="N217" s="602"/>
      <c r="O217" s="3"/>
      <c r="P217" s="3"/>
      <c r="Q217" s="3"/>
      <c r="R217" s="3"/>
      <c r="S217" s="3"/>
      <c r="T217" s="3"/>
      <c r="U217" s="3"/>
      <c r="V217" s="3"/>
      <c r="W217" s="3"/>
      <c r="X217" s="3"/>
      <c r="Y217" s="3"/>
      <c r="Z217" s="3"/>
      <c r="AA217" s="3"/>
      <c r="AB217" s="3"/>
      <c r="AC217" s="3"/>
    </row>
    <row r="218" spans="1:29" x14ac:dyDescent="0.15">
      <c r="A218" s="3"/>
      <c r="B218" s="3"/>
      <c r="C218" s="595">
        <f t="shared" ref="C218:C283" si="14">C217+5</f>
        <v>10.00001</v>
      </c>
      <c r="D218" s="606">
        <f t="shared" si="13"/>
        <v>5.8610307884493329</v>
      </c>
      <c r="E218" s="32"/>
      <c r="N218" s="602"/>
      <c r="O218" s="3"/>
      <c r="P218" s="3"/>
      <c r="Q218" s="3"/>
      <c r="R218" s="3"/>
      <c r="S218" s="3"/>
      <c r="T218" s="3"/>
      <c r="U218" s="3"/>
      <c r="V218" s="3"/>
      <c r="W218" s="3"/>
      <c r="X218" s="3"/>
      <c r="Y218" s="3"/>
      <c r="Z218" s="3"/>
      <c r="AA218" s="3"/>
      <c r="AB218" s="3"/>
      <c r="AC218" s="3"/>
    </row>
    <row r="219" spans="1:29" x14ac:dyDescent="0.15">
      <c r="A219" s="3"/>
      <c r="B219" s="3"/>
      <c r="C219" s="595">
        <f t="shared" si="14"/>
        <v>15.00001</v>
      </c>
      <c r="D219" s="606">
        <f t="shared" si="13"/>
        <v>5.6860456751103436</v>
      </c>
      <c r="E219" s="32"/>
      <c r="N219" s="602"/>
      <c r="O219" s="3"/>
      <c r="P219" s="3"/>
      <c r="Q219" s="3"/>
      <c r="R219" s="3"/>
      <c r="S219" s="3"/>
      <c r="T219" s="3"/>
      <c r="U219" s="3"/>
      <c r="V219" s="3"/>
      <c r="W219" s="3"/>
      <c r="X219" s="3"/>
      <c r="Y219" s="3"/>
      <c r="Z219" s="3"/>
      <c r="AA219" s="3"/>
      <c r="AB219" s="3"/>
      <c r="AC219" s="3"/>
    </row>
    <row r="220" spans="1:29" x14ac:dyDescent="0.15">
      <c r="A220" s="3"/>
      <c r="B220" s="3"/>
      <c r="C220" s="595">
        <f t="shared" si="14"/>
        <v>20.00001</v>
      </c>
      <c r="D220" s="606">
        <f t="shared" si="13"/>
        <v>5.4386406342061937</v>
      </c>
      <c r="E220" s="32"/>
      <c r="N220" s="602"/>
      <c r="O220" s="3"/>
      <c r="P220" s="3"/>
      <c r="Q220" s="3"/>
      <c r="R220" s="3"/>
      <c r="S220" s="3"/>
      <c r="T220" s="3"/>
      <c r="U220" s="3"/>
      <c r="V220" s="3"/>
      <c r="W220" s="3"/>
      <c r="X220" s="3"/>
      <c r="Y220" s="3"/>
      <c r="Z220" s="3"/>
      <c r="AA220" s="3"/>
      <c r="AB220" s="3"/>
      <c r="AC220" s="3"/>
    </row>
    <row r="221" spans="1:29" x14ac:dyDescent="0.15">
      <c r="A221" s="3"/>
      <c r="B221" s="3"/>
      <c r="C221" s="595">
        <f t="shared" si="14"/>
        <v>25.00001</v>
      </c>
      <c r="D221" s="606">
        <f t="shared" si="13"/>
        <v>5.1162496734715912</v>
      </c>
      <c r="E221" s="32"/>
      <c r="N221" s="602"/>
      <c r="O221" s="3"/>
      <c r="P221" s="3"/>
      <c r="Q221" s="3"/>
      <c r="R221" s="3"/>
      <c r="S221" s="3"/>
      <c r="T221" s="3"/>
      <c r="U221" s="3"/>
      <c r="V221" s="3"/>
      <c r="W221" s="3"/>
      <c r="X221" s="3"/>
      <c r="Y221" s="3"/>
      <c r="Z221" s="3"/>
      <c r="AA221" s="3"/>
      <c r="AB221" s="3"/>
      <c r="AC221" s="3"/>
    </row>
    <row r="222" spans="1:29" x14ac:dyDescent="0.15">
      <c r="A222" s="3"/>
      <c r="B222" s="3"/>
      <c r="C222" s="595">
        <f t="shared" si="14"/>
        <v>30.00001</v>
      </c>
      <c r="D222" s="606">
        <f t="shared" si="13"/>
        <v>4.7153564644619106</v>
      </c>
      <c r="E222" s="32"/>
      <c r="N222" s="602"/>
      <c r="O222" s="3"/>
      <c r="P222" s="3"/>
      <c r="Q222" s="3"/>
      <c r="R222" s="3"/>
      <c r="S222" s="3"/>
      <c r="T222" s="3"/>
      <c r="U222" s="3"/>
      <c r="V222" s="3"/>
      <c r="W222" s="3"/>
      <c r="X222" s="3"/>
      <c r="Y222" s="3"/>
      <c r="Z222" s="3"/>
      <c r="AA222" s="3"/>
      <c r="AB222" s="3"/>
      <c r="AC222" s="3"/>
    </row>
    <row r="223" spans="1:29" x14ac:dyDescent="0.15">
      <c r="A223" s="3"/>
      <c r="B223" s="3"/>
      <c r="C223" s="595">
        <f t="shared" si="14"/>
        <v>35.000010000000003</v>
      </c>
      <c r="D223" s="606">
        <f t="shared" si="13"/>
        <v>4.2312978799201479</v>
      </c>
      <c r="E223" s="32"/>
      <c r="N223" s="602"/>
      <c r="O223" s="3"/>
      <c r="P223" s="3"/>
      <c r="Q223" s="3"/>
      <c r="R223" s="3"/>
      <c r="S223" s="3"/>
      <c r="T223" s="3"/>
      <c r="U223" s="3"/>
      <c r="V223" s="3"/>
      <c r="W223" s="3"/>
      <c r="X223" s="3"/>
      <c r="Y223" s="3"/>
      <c r="Z223" s="3"/>
      <c r="AA223" s="3"/>
      <c r="AB223" s="3"/>
      <c r="AC223" s="3"/>
    </row>
    <row r="224" spans="1:29" x14ac:dyDescent="0.15">
      <c r="A224" s="3"/>
      <c r="B224" s="3"/>
      <c r="C224" s="595">
        <f t="shared" si="14"/>
        <v>40.000010000000003</v>
      </c>
      <c r="D224" s="606">
        <f t="shared" si="13"/>
        <v>3.6579781652012575</v>
      </c>
      <c r="E224" s="32"/>
      <c r="N224" s="602"/>
      <c r="O224" s="3"/>
      <c r="P224" s="3"/>
      <c r="Q224" s="3"/>
      <c r="R224" s="3"/>
      <c r="S224" s="3"/>
      <c r="T224" s="3"/>
      <c r="U224" s="3"/>
      <c r="V224" s="3"/>
      <c r="W224" s="3"/>
      <c r="X224" s="3"/>
      <c r="Y224" s="3"/>
      <c r="Z224" s="3"/>
      <c r="AA224" s="3"/>
      <c r="AB224" s="3"/>
      <c r="AC224" s="3"/>
    </row>
    <row r="225" spans="1:29" x14ac:dyDescent="0.15">
      <c r="A225" s="3"/>
      <c r="B225" s="3"/>
      <c r="C225" s="595">
        <f t="shared" si="14"/>
        <v>45.000010000000003</v>
      </c>
      <c r="D225" s="606">
        <f t="shared" si="13"/>
        <v>2.9874513525559072</v>
      </c>
      <c r="E225" s="32"/>
      <c r="H225" t="s">
        <v>512</v>
      </c>
      <c r="I225" t="s">
        <v>369</v>
      </c>
      <c r="N225" s="602"/>
      <c r="O225" s="3"/>
      <c r="P225" s="3"/>
      <c r="Q225" s="3"/>
      <c r="R225" s="3"/>
      <c r="S225" s="3"/>
      <c r="T225" s="3"/>
      <c r="U225" s="3"/>
      <c r="V225" s="3"/>
      <c r="W225" s="3"/>
      <c r="X225" s="3"/>
      <c r="Y225" s="3"/>
      <c r="Z225" s="3"/>
      <c r="AA225" s="3"/>
      <c r="AB225" s="3"/>
      <c r="AC225" s="3"/>
    </row>
    <row r="226" spans="1:29" x14ac:dyDescent="0.15">
      <c r="A226" s="3"/>
      <c r="B226" s="3"/>
      <c r="C226" s="595">
        <f t="shared" si="14"/>
        <v>50.000010000000003</v>
      </c>
      <c r="D226" s="606">
        <f t="shared" si="13"/>
        <v>2.2093012463479962</v>
      </c>
      <c r="E226" s="32"/>
      <c r="J226" s="20" t="s">
        <v>364</v>
      </c>
      <c r="N226" s="602"/>
      <c r="O226" s="3"/>
      <c r="P226" s="3"/>
      <c r="Q226" s="3"/>
      <c r="R226" s="3"/>
      <c r="S226" s="3"/>
      <c r="T226" s="3"/>
      <c r="U226" s="3"/>
      <c r="V226" s="3"/>
      <c r="W226" s="3"/>
      <c r="X226" s="3"/>
      <c r="Y226" s="3"/>
      <c r="Z226" s="3"/>
      <c r="AA226" s="3"/>
      <c r="AB226" s="3"/>
      <c r="AC226" s="3"/>
    </row>
    <row r="227" spans="1:29" x14ac:dyDescent="0.15">
      <c r="A227" s="3"/>
      <c r="B227" s="3"/>
      <c r="C227" s="595">
        <f t="shared" si="14"/>
        <v>55.000010000000003</v>
      </c>
      <c r="D227" s="606">
        <f t="shared" si="13"/>
        <v>1.3096970623209385</v>
      </c>
      <c r="E227" s="32"/>
      <c r="N227" s="602"/>
      <c r="O227" s="3"/>
      <c r="P227" s="3"/>
      <c r="Q227" s="3"/>
      <c r="R227" s="3"/>
      <c r="S227" s="3"/>
      <c r="T227" s="3"/>
      <c r="U227" s="3"/>
      <c r="V227" s="3"/>
      <c r="W227" s="3"/>
      <c r="X227" s="3"/>
      <c r="Y227" s="3"/>
      <c r="Z227" s="3"/>
      <c r="AA227" s="3"/>
      <c r="AB227" s="3"/>
      <c r="AC227" s="3"/>
    </row>
    <row r="228" spans="1:29" x14ac:dyDescent="0.15">
      <c r="A228" s="3"/>
      <c r="B228" s="3"/>
      <c r="C228" s="595">
        <f t="shared" si="14"/>
        <v>60.000010000000003</v>
      </c>
      <c r="D228" s="606">
        <f t="shared" si="13"/>
        <v>0.26990490064927641</v>
      </c>
      <c r="E228" s="32"/>
      <c r="N228" s="602"/>
      <c r="O228" s="3"/>
      <c r="P228" s="3"/>
      <c r="Q228" s="3"/>
      <c r="R228" s="3"/>
      <c r="S228" s="3"/>
      <c r="T228" s="3"/>
      <c r="U228" s="3"/>
      <c r="V228" s="3"/>
      <c r="W228" s="3"/>
      <c r="X228" s="3"/>
      <c r="Y228" s="3"/>
      <c r="Z228" s="3"/>
      <c r="AA228" s="3"/>
      <c r="AB228" s="3"/>
      <c r="AC228" s="3"/>
    </row>
    <row r="229" spans="1:29" x14ac:dyDescent="0.15">
      <c r="A229" s="3"/>
      <c r="B229" s="3"/>
      <c r="C229" s="595">
        <f t="shared" si="14"/>
        <v>65.000010000000003</v>
      </c>
      <c r="D229" s="606">
        <f t="shared" si="13"/>
        <v>-0.93616362774185458</v>
      </c>
      <c r="E229" s="32"/>
      <c r="N229" s="602"/>
      <c r="O229" s="3"/>
      <c r="P229" s="3"/>
      <c r="Q229" s="3"/>
      <c r="R229" s="3"/>
      <c r="S229" s="3"/>
      <c r="T229" s="3"/>
      <c r="U229" s="3"/>
      <c r="V229" s="3"/>
      <c r="W229" s="3"/>
      <c r="X229" s="3"/>
      <c r="Y229" s="3"/>
      <c r="Z229" s="3"/>
      <c r="AA229" s="3"/>
      <c r="AB229" s="3"/>
      <c r="AC229" s="3"/>
    </row>
    <row r="230" spans="1:29" x14ac:dyDescent="0.15">
      <c r="A230" s="3"/>
      <c r="B230" s="3"/>
      <c r="C230" s="595">
        <f t="shared" si="14"/>
        <v>70.000010000000003</v>
      </c>
      <c r="D230" s="606">
        <f t="shared" si="13"/>
        <v>-2.346219096006557</v>
      </c>
      <c r="E230" s="32"/>
      <c r="N230" s="602"/>
      <c r="O230" s="3"/>
      <c r="P230" s="3"/>
      <c r="Q230" s="3"/>
      <c r="R230" s="3"/>
      <c r="S230" s="3"/>
      <c r="T230" s="3"/>
      <c r="U230" s="3"/>
      <c r="V230" s="3"/>
      <c r="W230" s="3"/>
      <c r="X230" s="3"/>
      <c r="Y230" s="3"/>
      <c r="Z230" s="3"/>
      <c r="AA230" s="3"/>
      <c r="AB230" s="3"/>
      <c r="AC230" s="3"/>
    </row>
    <row r="231" spans="1:29" x14ac:dyDescent="0.15">
      <c r="A231" s="3"/>
      <c r="B231" s="3"/>
      <c r="C231" s="595">
        <f t="shared" si="14"/>
        <v>75.000010000000003</v>
      </c>
      <c r="D231" s="606">
        <f t="shared" si="13"/>
        <v>-4.0175734305176114</v>
      </c>
      <c r="E231" s="32"/>
      <c r="N231" s="602"/>
      <c r="O231" s="3"/>
      <c r="P231" s="3"/>
      <c r="Q231" s="3"/>
      <c r="R231" s="3"/>
      <c r="S231" s="3"/>
      <c r="T231" s="3"/>
      <c r="U231" s="3"/>
      <c r="V231" s="3"/>
      <c r="W231" s="3"/>
      <c r="X231" s="3"/>
      <c r="Y231" s="3"/>
      <c r="Z231" s="3"/>
      <c r="AA231" s="3"/>
      <c r="AB231" s="3"/>
      <c r="AC231" s="3"/>
    </row>
    <row r="232" spans="1:29" x14ac:dyDescent="0.15">
      <c r="A232" s="3"/>
      <c r="B232" s="3"/>
      <c r="C232" s="595">
        <f t="shared" si="14"/>
        <v>80.000010000000003</v>
      </c>
      <c r="D232" s="606">
        <f t="shared" si="13"/>
        <v>-6.0435331070795471</v>
      </c>
      <c r="E232" s="32"/>
      <c r="N232" s="602"/>
      <c r="O232" s="3"/>
      <c r="P232" s="3"/>
      <c r="Q232" s="3"/>
      <c r="R232" s="3"/>
      <c r="S232" s="3"/>
      <c r="T232" s="3"/>
      <c r="U232" s="3"/>
      <c r="V232" s="3"/>
      <c r="W232" s="3"/>
      <c r="X232" s="3"/>
      <c r="Y232" s="3"/>
      <c r="Z232" s="3"/>
      <c r="AA232" s="3"/>
      <c r="AB232" s="3"/>
      <c r="AC232" s="3"/>
    </row>
    <row r="233" spans="1:29" x14ac:dyDescent="0.15">
      <c r="A233" s="3"/>
      <c r="B233" s="3"/>
      <c r="C233" s="595">
        <f t="shared" si="14"/>
        <v>85.000010000000003</v>
      </c>
      <c r="D233" s="606">
        <f t="shared" si="13"/>
        <v>-8.5917789014445276</v>
      </c>
      <c r="E233" s="32"/>
      <c r="N233" s="602"/>
      <c r="O233" s="3"/>
      <c r="P233" s="3"/>
      <c r="Q233" s="3"/>
      <c r="R233" s="3"/>
      <c r="S233" s="3"/>
      <c r="T233" s="3"/>
      <c r="U233" s="3"/>
      <c r="V233" s="3"/>
      <c r="W233" s="3"/>
      <c r="X233" s="3"/>
      <c r="Y233" s="3"/>
      <c r="Z233" s="3"/>
      <c r="AA233" s="3"/>
      <c r="AB233" s="3"/>
      <c r="AC233" s="3"/>
    </row>
    <row r="234" spans="1:29" x14ac:dyDescent="0.15">
      <c r="A234" s="3"/>
      <c r="B234" s="3"/>
      <c r="C234" s="595">
        <f t="shared" si="14"/>
        <v>90.000010000000003</v>
      </c>
      <c r="D234" s="606">
        <f t="shared" si="13"/>
        <v>-12.013620001173564</v>
      </c>
      <c r="E234" s="32"/>
      <c r="N234" s="602"/>
      <c r="O234" s="3"/>
      <c r="P234" s="3"/>
      <c r="Q234" s="3"/>
      <c r="R234" s="3"/>
      <c r="S234" s="3"/>
      <c r="T234" s="3"/>
      <c r="U234" s="3"/>
      <c r="V234" s="3"/>
      <c r="W234" s="3"/>
      <c r="X234" s="3"/>
      <c r="Y234" s="3"/>
      <c r="Z234" s="3"/>
      <c r="AA234" s="3"/>
      <c r="AB234" s="3"/>
      <c r="AC234" s="3"/>
    </row>
    <row r="235" spans="1:29" x14ac:dyDescent="0.15">
      <c r="A235" s="3"/>
      <c r="B235" s="3"/>
      <c r="C235" s="595">
        <f t="shared" si="14"/>
        <v>95.000010000000003</v>
      </c>
      <c r="D235" s="606">
        <f t="shared" si="13"/>
        <v>-17.279743973217315</v>
      </c>
      <c r="E235" s="32"/>
      <c r="N235" s="602"/>
      <c r="O235" s="3"/>
      <c r="P235" s="3"/>
      <c r="Q235" s="3"/>
      <c r="R235" s="3"/>
      <c r="S235" s="3"/>
      <c r="T235" s="3"/>
      <c r="U235" s="3"/>
      <c r="V235" s="3"/>
      <c r="W235" s="3"/>
      <c r="X235" s="3"/>
      <c r="Y235" s="3"/>
      <c r="Z235" s="3"/>
      <c r="AA235" s="3"/>
      <c r="AB235" s="3"/>
      <c r="AC235" s="3"/>
    </row>
    <row r="236" spans="1:29" x14ac:dyDescent="0.15">
      <c r="A236" s="3"/>
      <c r="B236" s="3"/>
      <c r="C236" s="595">
        <f t="shared" si="14"/>
        <v>100.00001</v>
      </c>
      <c r="D236" s="606">
        <f t="shared" si="13"/>
        <v>-30.156464421918081</v>
      </c>
      <c r="E236" s="32"/>
      <c r="N236" s="602"/>
      <c r="O236" s="3"/>
      <c r="P236" s="3"/>
      <c r="Q236" s="3"/>
      <c r="R236" s="3"/>
      <c r="S236" s="3"/>
      <c r="T236" s="3"/>
      <c r="U236" s="3"/>
      <c r="V236" s="3"/>
      <c r="W236" s="3"/>
      <c r="X236" s="3"/>
      <c r="Y236" s="3"/>
      <c r="Z236" s="3"/>
      <c r="AA236" s="3"/>
      <c r="AB236" s="3"/>
      <c r="AC236" s="3"/>
    </row>
    <row r="237" spans="1:29" x14ac:dyDescent="0.15">
      <c r="A237" s="3"/>
      <c r="B237" s="3"/>
      <c r="C237" s="595">
        <f t="shared" si="14"/>
        <v>105.00001</v>
      </c>
      <c r="D237" s="606">
        <f t="shared" si="13"/>
        <v>-23.701973405406868</v>
      </c>
      <c r="E237" s="32"/>
      <c r="N237" s="602"/>
      <c r="O237" s="3"/>
      <c r="P237" s="3"/>
      <c r="Q237" s="3"/>
      <c r="R237" s="3"/>
      <c r="S237" s="3"/>
      <c r="T237" s="3"/>
      <c r="U237" s="3"/>
      <c r="V237" s="3"/>
      <c r="W237" s="3"/>
      <c r="X237" s="3"/>
      <c r="Y237" s="3"/>
      <c r="Z237" s="3"/>
      <c r="AA237" s="3"/>
      <c r="AB237" s="3"/>
      <c r="AC237" s="3"/>
    </row>
    <row r="238" spans="1:29" x14ac:dyDescent="0.15">
      <c r="A238" s="3"/>
      <c r="B238" s="3"/>
      <c r="C238" s="595">
        <f t="shared" si="14"/>
        <v>110.00001</v>
      </c>
      <c r="D238" s="606">
        <f t="shared" si="13"/>
        <v>-16.397090501132354</v>
      </c>
      <c r="E238" s="32"/>
      <c r="N238" s="602"/>
      <c r="O238" s="3"/>
      <c r="P238" s="3"/>
      <c r="Q238" s="3"/>
      <c r="R238" s="3"/>
      <c r="S238" s="3"/>
      <c r="T238" s="3"/>
      <c r="U238" s="3"/>
      <c r="V238" s="3"/>
      <c r="W238" s="3"/>
      <c r="X238" s="3"/>
      <c r="Y238" s="3"/>
      <c r="Z238" s="3"/>
      <c r="AA238" s="3"/>
      <c r="AB238" s="3"/>
      <c r="AC238" s="3"/>
    </row>
    <row r="239" spans="1:29" ht="14" thickBot="1" x14ac:dyDescent="0.2">
      <c r="A239" s="3"/>
      <c r="B239" s="3"/>
      <c r="C239" s="595">
        <f t="shared" si="14"/>
        <v>115.00001</v>
      </c>
      <c r="D239" s="606">
        <f t="shared" si="13"/>
        <v>-12.895951874930702</v>
      </c>
      <c r="E239" s="32"/>
      <c r="N239" s="603"/>
      <c r="O239" s="3"/>
      <c r="P239" s="3"/>
      <c r="Q239" s="3"/>
      <c r="R239" s="3"/>
      <c r="S239" s="3"/>
      <c r="T239" s="3"/>
      <c r="U239" s="3"/>
      <c r="V239" s="3"/>
      <c r="W239" s="3"/>
      <c r="X239" s="3"/>
      <c r="Y239" s="3"/>
      <c r="Z239" s="3"/>
      <c r="AA239" s="3"/>
      <c r="AB239" s="3"/>
      <c r="AC239" s="3"/>
    </row>
    <row r="240" spans="1:29" x14ac:dyDescent="0.15">
      <c r="A240" s="3"/>
      <c r="B240" s="3"/>
      <c r="C240" s="595">
        <f t="shared" si="14"/>
        <v>120.00001</v>
      </c>
      <c r="D240" s="606">
        <f t="shared" si="13"/>
        <v>-10.743493220007636</v>
      </c>
      <c r="E240" s="32"/>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x14ac:dyDescent="0.15">
      <c r="A241" s="3"/>
      <c r="B241" s="3"/>
      <c r="C241" s="595">
        <f t="shared" si="14"/>
        <v>125.00001</v>
      </c>
      <c r="D241" s="606">
        <f t="shared" si="13"/>
        <v>-9.3131238834920467</v>
      </c>
      <c r="E241" s="32"/>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x14ac:dyDescent="0.15">
      <c r="A242" s="3"/>
      <c r="B242" s="3"/>
      <c r="C242" s="595">
        <f t="shared" si="14"/>
        <v>130.00001</v>
      </c>
      <c r="D242" s="606">
        <f t="shared" si="13"/>
        <v>-8.3505360701726996</v>
      </c>
      <c r="E242" s="32"/>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x14ac:dyDescent="0.15">
      <c r="A243" s="3"/>
      <c r="B243" s="3"/>
      <c r="C243" s="595">
        <f t="shared" si="14"/>
        <v>135.00001</v>
      </c>
      <c r="D243" s="606">
        <f t="shared" si="13"/>
        <v>-7.7293164278551636</v>
      </c>
      <c r="E243" s="32"/>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x14ac:dyDescent="0.15">
      <c r="A244" s="3"/>
      <c r="B244" s="3"/>
      <c r="C244" s="595">
        <f t="shared" si="14"/>
        <v>140.00001</v>
      </c>
      <c r="D244" s="606">
        <f t="shared" si="13"/>
        <v>-7.3797189350454673</v>
      </c>
      <c r="E244" s="32"/>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x14ac:dyDescent="0.15">
      <c r="A245" s="3"/>
      <c r="B245" s="3"/>
      <c r="C245" s="595">
        <f t="shared" si="14"/>
        <v>145.00001</v>
      </c>
      <c r="D245" s="606">
        <f t="shared" si="13"/>
        <v>-7.2617287207414059</v>
      </c>
      <c r="E245" s="32"/>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x14ac:dyDescent="0.15">
      <c r="A246" s="3"/>
      <c r="B246" s="3"/>
      <c r="C246" s="595">
        <f t="shared" si="14"/>
        <v>150.00001</v>
      </c>
      <c r="D246" s="606">
        <f t="shared" si="13"/>
        <v>-7.3532972791944715</v>
      </c>
      <c r="E246" s="32"/>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x14ac:dyDescent="0.15">
      <c r="A247" s="3"/>
      <c r="B247" s="3"/>
      <c r="C247" s="595">
        <f t="shared" si="14"/>
        <v>155.00001</v>
      </c>
      <c r="D247" s="606">
        <f t="shared" si="13"/>
        <v>-7.6449434430417593</v>
      </c>
      <c r="E247" s="32"/>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x14ac:dyDescent="0.15">
      <c r="A248" s="3"/>
      <c r="B248" s="3"/>
      <c r="C248" s="595">
        <f t="shared" si="14"/>
        <v>160.00001</v>
      </c>
      <c r="D248" s="606">
        <f t="shared" si="13"/>
        <v>-8.1376149609957675</v>
      </c>
      <c r="E248" s="32"/>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x14ac:dyDescent="0.15">
      <c r="A249" s="3"/>
      <c r="B249" s="3"/>
      <c r="C249" s="595">
        <f t="shared" si="14"/>
        <v>165.00001</v>
      </c>
      <c r="D249" s="606">
        <f t="shared" si="13"/>
        <v>-8.842764611816559</v>
      </c>
      <c r="E249" s="32"/>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x14ac:dyDescent="0.15">
      <c r="A250" s="3"/>
      <c r="B250" s="3"/>
      <c r="C250" s="595">
        <f t="shared" si="14"/>
        <v>170.00001</v>
      </c>
      <c r="D250" s="606">
        <f t="shared" si="13"/>
        <v>-9.7846725758335822</v>
      </c>
      <c r="E250" s="32"/>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x14ac:dyDescent="0.15">
      <c r="A251" s="3"/>
      <c r="B251" s="3"/>
      <c r="C251" s="595">
        <f t="shared" si="14"/>
        <v>175.00001</v>
      </c>
      <c r="D251" s="606">
        <f t="shared" si="13"/>
        <v>-11.006151919034188</v>
      </c>
      <c r="E251" s="32"/>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x14ac:dyDescent="0.15">
      <c r="A252" s="3"/>
      <c r="B252" s="3"/>
      <c r="C252" s="595">
        <f t="shared" si="14"/>
        <v>180.00001</v>
      </c>
      <c r="D252" s="606">
        <f t="shared" si="13"/>
        <v>-12.580956411963957</v>
      </c>
      <c r="E252" s="32"/>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x14ac:dyDescent="0.15">
      <c r="A253" s="3"/>
      <c r="B253" s="3"/>
      <c r="C253" s="595">
        <f t="shared" si="14"/>
        <v>185.00001</v>
      </c>
      <c r="D253" s="606">
        <v>-11</v>
      </c>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x14ac:dyDescent="0.15">
      <c r="A254" s="3"/>
      <c r="B254" s="3"/>
      <c r="C254" s="595">
        <f t="shared" si="14"/>
        <v>190.00001</v>
      </c>
      <c r="D254" s="606">
        <v>-9.8000000000000007</v>
      </c>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x14ac:dyDescent="0.15">
      <c r="A255" s="3"/>
      <c r="B255" s="3"/>
      <c r="C255" s="595">
        <f t="shared" si="14"/>
        <v>195.00001</v>
      </c>
      <c r="D255" s="3">
        <v>-8.8000000000000007</v>
      </c>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x14ac:dyDescent="0.15">
      <c r="A256" s="3"/>
      <c r="B256" s="3"/>
      <c r="C256" s="595">
        <f t="shared" si="14"/>
        <v>200.00001</v>
      </c>
      <c r="D256" s="3">
        <v>-8.1</v>
      </c>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x14ac:dyDescent="0.15">
      <c r="A257" s="3"/>
      <c r="B257" s="3"/>
      <c r="C257" s="595">
        <f t="shared" si="14"/>
        <v>205.00001</v>
      </c>
      <c r="D257" s="3">
        <v>-7.6</v>
      </c>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x14ac:dyDescent="0.15">
      <c r="A258" s="3"/>
      <c r="B258" s="3"/>
      <c r="C258" s="595">
        <f t="shared" si="14"/>
        <v>210.00001</v>
      </c>
      <c r="D258" s="3">
        <v>-7.4</v>
      </c>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x14ac:dyDescent="0.15">
      <c r="A259" s="3"/>
      <c r="B259" s="3"/>
      <c r="C259" s="595">
        <f t="shared" si="14"/>
        <v>215.00001</v>
      </c>
      <c r="D259" s="3">
        <v>-7.3</v>
      </c>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x14ac:dyDescent="0.15">
      <c r="A260" s="3"/>
      <c r="B260" s="3"/>
      <c r="C260" s="595">
        <f t="shared" si="14"/>
        <v>220.00001</v>
      </c>
      <c r="D260" s="3">
        <v>-7.4</v>
      </c>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x14ac:dyDescent="0.15">
      <c r="A261" s="3"/>
      <c r="B261" s="3"/>
      <c r="C261" s="595">
        <f t="shared" si="14"/>
        <v>225.00001</v>
      </c>
      <c r="D261" s="3">
        <v>-7.7</v>
      </c>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x14ac:dyDescent="0.15">
      <c r="A262" s="3"/>
      <c r="B262" s="3"/>
      <c r="C262" s="595">
        <f t="shared" si="14"/>
        <v>230.00001</v>
      </c>
      <c r="D262" s="3">
        <v>-8.4</v>
      </c>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x14ac:dyDescent="0.15">
      <c r="A263" s="3"/>
      <c r="B263" s="3"/>
      <c r="C263" s="595">
        <f t="shared" si="14"/>
        <v>235.00001</v>
      </c>
      <c r="D263" s="3">
        <v>-9.3000000000000007</v>
      </c>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x14ac:dyDescent="0.15">
      <c r="A264" s="3"/>
      <c r="B264" s="3"/>
      <c r="C264" s="595">
        <f t="shared" si="14"/>
        <v>240.00001</v>
      </c>
      <c r="D264" s="3">
        <v>-10.7</v>
      </c>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x14ac:dyDescent="0.15">
      <c r="A265" s="3"/>
      <c r="B265" s="3"/>
      <c r="C265" s="595">
        <f t="shared" si="14"/>
        <v>245.00001</v>
      </c>
      <c r="D265" s="3">
        <v>-12.9</v>
      </c>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x14ac:dyDescent="0.15">
      <c r="A266" s="3"/>
      <c r="B266" s="3"/>
      <c r="C266" s="595">
        <f t="shared" si="14"/>
        <v>250.00001</v>
      </c>
      <c r="D266" s="3">
        <v>-16.399999999999999</v>
      </c>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x14ac:dyDescent="0.15">
      <c r="A267" s="3"/>
      <c r="B267" s="3"/>
      <c r="C267" s="595">
        <f t="shared" si="14"/>
        <v>255.00001</v>
      </c>
      <c r="D267" s="3">
        <v>-23.7</v>
      </c>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x14ac:dyDescent="0.15">
      <c r="A268" s="3"/>
      <c r="B268" s="3"/>
      <c r="C268" s="595">
        <f t="shared" si="14"/>
        <v>260.00000999999997</v>
      </c>
      <c r="D268" s="3">
        <v>-30.2</v>
      </c>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x14ac:dyDescent="0.15">
      <c r="A269" s="3"/>
      <c r="B269" s="3"/>
      <c r="C269" s="595">
        <f t="shared" si="14"/>
        <v>265.00000999999997</v>
      </c>
      <c r="D269" s="3">
        <v>-17.3</v>
      </c>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x14ac:dyDescent="0.15">
      <c r="A270" s="3"/>
      <c r="B270" s="3"/>
      <c r="C270" s="595">
        <f t="shared" si="14"/>
        <v>270.00000999999997</v>
      </c>
      <c r="D270" s="553">
        <v>-8.6</v>
      </c>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x14ac:dyDescent="0.15">
      <c r="A271" s="3"/>
      <c r="B271" s="3"/>
      <c r="C271" s="595">
        <f t="shared" si="14"/>
        <v>275.00000999999997</v>
      </c>
      <c r="D271" s="553">
        <v>-6</v>
      </c>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x14ac:dyDescent="0.15">
      <c r="A272" s="3"/>
      <c r="B272" s="3"/>
      <c r="C272" s="595">
        <f t="shared" si="14"/>
        <v>280.00000999999997</v>
      </c>
      <c r="D272" s="553">
        <v>-4</v>
      </c>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x14ac:dyDescent="0.15">
      <c r="A273" s="3"/>
      <c r="B273" s="3"/>
      <c r="C273" s="595">
        <f t="shared" si="14"/>
        <v>285.00000999999997</v>
      </c>
      <c r="D273" s="3">
        <v>-2.2999999999999998</v>
      </c>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x14ac:dyDescent="0.15">
      <c r="A274" s="3"/>
      <c r="B274" s="3"/>
      <c r="C274" s="595">
        <f t="shared" si="14"/>
        <v>290.00000999999997</v>
      </c>
      <c r="D274" s="3">
        <v>-0.9</v>
      </c>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x14ac:dyDescent="0.15">
      <c r="A275" s="3"/>
      <c r="B275" s="3"/>
      <c r="C275" s="595">
        <f t="shared" si="14"/>
        <v>295.00000999999997</v>
      </c>
      <c r="D275" s="3">
        <v>0.3</v>
      </c>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x14ac:dyDescent="0.15">
      <c r="A276" s="3"/>
      <c r="B276" s="3"/>
      <c r="C276" s="595">
        <f t="shared" si="14"/>
        <v>300.00000999999997</v>
      </c>
      <c r="D276" s="3">
        <v>1.3</v>
      </c>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x14ac:dyDescent="0.15">
      <c r="A277" s="3"/>
      <c r="B277" s="3"/>
      <c r="C277" s="595">
        <f t="shared" si="14"/>
        <v>305.00000999999997</v>
      </c>
      <c r="D277" s="3">
        <v>2.2000000000000002</v>
      </c>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x14ac:dyDescent="0.15">
      <c r="A278" s="3"/>
      <c r="B278" s="3"/>
      <c r="C278" s="595">
        <f t="shared" si="14"/>
        <v>310.00000999999997</v>
      </c>
      <c r="D278" s="553">
        <v>3</v>
      </c>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x14ac:dyDescent="0.15">
      <c r="A279" s="3"/>
      <c r="B279" s="3"/>
      <c r="C279" s="595">
        <f t="shared" si="14"/>
        <v>315.00000999999997</v>
      </c>
      <c r="D279" s="3">
        <v>3.7</v>
      </c>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x14ac:dyDescent="0.15">
      <c r="A280" s="3"/>
      <c r="B280" s="3"/>
      <c r="C280" s="595">
        <f t="shared" si="14"/>
        <v>320.00000999999997</v>
      </c>
      <c r="D280" s="3">
        <v>4.2</v>
      </c>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x14ac:dyDescent="0.15">
      <c r="A281" s="3"/>
      <c r="B281" s="3"/>
      <c r="C281" s="595">
        <f t="shared" si="14"/>
        <v>325.00000999999997</v>
      </c>
      <c r="D281" s="3">
        <v>4.7</v>
      </c>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x14ac:dyDescent="0.15">
      <c r="A282" s="3"/>
      <c r="B282" s="3"/>
      <c r="C282" s="595">
        <f>C281+5</f>
        <v>330.00000999999997</v>
      </c>
      <c r="D282" s="3">
        <v>5.0999999999999996</v>
      </c>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x14ac:dyDescent="0.15">
      <c r="A283" s="3"/>
      <c r="B283" s="3"/>
      <c r="C283" s="595">
        <f t="shared" si="14"/>
        <v>335.00000999999997</v>
      </c>
      <c r="D283" s="3">
        <v>5.4</v>
      </c>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x14ac:dyDescent="0.15">
      <c r="A284" s="3"/>
      <c r="B284" s="3"/>
      <c r="C284" s="595">
        <f>C283+5</f>
        <v>340.00000999999997</v>
      </c>
      <c r="D284" s="3">
        <v>5.7</v>
      </c>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x14ac:dyDescent="0.15">
      <c r="A285" s="3"/>
      <c r="B285" s="3"/>
      <c r="C285" s="595">
        <f>C284+5</f>
        <v>345.00000999999997</v>
      </c>
      <c r="D285" s="3">
        <v>5.9</v>
      </c>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x14ac:dyDescent="0.15">
      <c r="A286" s="3"/>
      <c r="B286" s="3"/>
      <c r="C286" s="595">
        <f>C285+5</f>
        <v>350.00000999999997</v>
      </c>
      <c r="D286" s="553">
        <v>6</v>
      </c>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x14ac:dyDescent="0.15">
      <c r="A287" s="3"/>
      <c r="B287" s="3"/>
      <c r="C287" s="595">
        <f>C286+5</f>
        <v>355.00000999999997</v>
      </c>
      <c r="D287" s="553">
        <v>6</v>
      </c>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x14ac:dyDescent="0.15">
      <c r="A288" s="3"/>
      <c r="B288" s="3"/>
      <c r="C288" s="595" t="s">
        <v>512</v>
      </c>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x14ac:dyDescent="0.1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x14ac:dyDescent="0.1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x14ac:dyDescent="0.1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x14ac:dyDescent="0.1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x14ac:dyDescent="0.1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x14ac:dyDescent="0.1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x14ac:dyDescent="0.1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x14ac:dyDescent="0.1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x14ac:dyDescent="0.1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x14ac:dyDescent="0.1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x14ac:dyDescent="0.1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x14ac:dyDescent="0.1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indexed="47"/>
  </sheetPr>
  <dimension ref="A1:U118"/>
  <sheetViews>
    <sheetView workbookViewId="0">
      <selection activeCell="B5" sqref="B5"/>
    </sheetView>
  </sheetViews>
  <sheetFormatPr baseColWidth="10" defaultColWidth="10.6640625" defaultRowHeight="13" x14ac:dyDescent="0.15"/>
  <cols>
    <col min="1" max="1" width="17.1640625" customWidth="1"/>
    <col min="2" max="3" width="8.83203125" customWidth="1"/>
    <col min="4" max="4" width="10.83203125" customWidth="1"/>
    <col min="5" max="5" width="16.1640625" customWidth="1"/>
    <col min="6" max="6" width="14.6640625" customWidth="1"/>
    <col min="7" max="9" width="8.83203125" customWidth="1"/>
    <col min="10" max="10" width="12.5" customWidth="1"/>
    <col min="11" max="256" width="8.83203125" customWidth="1"/>
  </cols>
  <sheetData>
    <row r="1" spans="1:21" ht="18" x14ac:dyDescent="0.2">
      <c r="A1" s="535"/>
      <c r="B1" s="536"/>
      <c r="C1" s="537" t="s">
        <v>880</v>
      </c>
      <c r="D1" s="537"/>
      <c r="E1" s="536"/>
      <c r="F1" s="536"/>
      <c r="G1" s="538"/>
      <c r="H1" s="3"/>
      <c r="I1" s="3"/>
      <c r="J1" s="3"/>
      <c r="K1" s="3"/>
      <c r="L1" s="3"/>
      <c r="M1" s="3"/>
      <c r="N1" s="3"/>
      <c r="O1" s="3"/>
      <c r="P1" s="3"/>
      <c r="Q1" s="3"/>
      <c r="R1" s="3"/>
      <c r="S1" s="3"/>
      <c r="T1" s="3"/>
    </row>
    <row r="2" spans="1:21" ht="18" x14ac:dyDescent="0.2">
      <c r="A2" s="539" t="s">
        <v>780</v>
      </c>
      <c r="B2" s="540"/>
      <c r="C2" s="540"/>
      <c r="D2" s="540"/>
      <c r="E2" s="38"/>
      <c r="F2" s="38"/>
      <c r="G2" s="541"/>
      <c r="H2" s="3"/>
      <c r="I2" s="3"/>
      <c r="J2" s="3"/>
      <c r="K2" s="3"/>
      <c r="L2" s="3"/>
      <c r="M2" s="3"/>
      <c r="N2" s="3"/>
      <c r="O2" s="3"/>
      <c r="P2" s="3"/>
      <c r="Q2" s="3"/>
      <c r="R2" s="3"/>
      <c r="S2" s="3"/>
      <c r="T2" s="3"/>
    </row>
    <row r="3" spans="1:21" ht="19" thickBot="1" x14ac:dyDescent="0.25">
      <c r="A3" s="542" t="s">
        <v>61</v>
      </c>
      <c r="B3" s="543"/>
      <c r="C3" s="543"/>
      <c r="D3" s="543"/>
      <c r="E3" s="544"/>
      <c r="F3" s="121"/>
      <c r="G3" s="545"/>
      <c r="H3" s="3"/>
      <c r="I3" s="452" t="s">
        <v>764</v>
      </c>
      <c r="J3" s="521">
        <f ca="1">'Title Page'!F23</f>
        <v>45769</v>
      </c>
      <c r="K3" s="380"/>
      <c r="L3" s="4" t="s">
        <v>512</v>
      </c>
      <c r="M3" s="4" t="s">
        <v>512</v>
      </c>
      <c r="N3" s="3"/>
      <c r="O3" s="3"/>
      <c r="P3" s="3"/>
      <c r="Q3" s="3"/>
      <c r="R3" s="3"/>
      <c r="S3" s="3"/>
      <c r="T3" s="3"/>
    </row>
    <row r="4" spans="1:21" ht="14" thickBot="1" x14ac:dyDescent="0.2">
      <c r="A4" s="4"/>
      <c r="B4" s="3"/>
      <c r="C4" s="3"/>
      <c r="D4" s="3"/>
      <c r="E4" s="3"/>
      <c r="F4" s="3"/>
      <c r="G4" s="3"/>
      <c r="H4" s="3"/>
      <c r="I4" s="3"/>
      <c r="J4" s="3"/>
      <c r="K4" s="3"/>
      <c r="L4" s="3"/>
      <c r="M4" s="4"/>
      <c r="N4" s="3"/>
      <c r="O4" s="3"/>
      <c r="P4" s="3"/>
      <c r="Q4" s="3"/>
      <c r="R4" s="3"/>
      <c r="S4" s="3"/>
      <c r="T4" s="3"/>
    </row>
    <row r="5" spans="1:21" ht="14" thickBot="1" x14ac:dyDescent="0.2">
      <c r="A5" s="635" t="s">
        <v>550</v>
      </c>
      <c r="B5" s="634">
        <v>20</v>
      </c>
      <c r="C5" s="3" t="s">
        <v>765</v>
      </c>
      <c r="D5" s="3"/>
      <c r="E5" s="552" t="s">
        <v>766</v>
      </c>
      <c r="F5" s="556">
        <f>20.4+20*LOG10(B6)+20*LOG10(B5)+10*LOG10(B7/100)</f>
        <v>40.726187608507196</v>
      </c>
      <c r="G5" s="3" t="s">
        <v>512</v>
      </c>
      <c r="H5" s="399" t="s">
        <v>397</v>
      </c>
      <c r="I5" s="313"/>
      <c r="J5" s="185"/>
      <c r="K5" s="3"/>
      <c r="L5" s="3"/>
      <c r="M5" s="3"/>
      <c r="N5" s="3"/>
      <c r="O5" s="3"/>
      <c r="P5" s="3"/>
      <c r="Q5" s="3"/>
      <c r="R5" s="3"/>
      <c r="S5" s="3"/>
      <c r="T5" s="3"/>
    </row>
    <row r="6" spans="1:21" ht="14" thickBot="1" x14ac:dyDescent="0.2">
      <c r="A6" s="635" t="s">
        <v>767</v>
      </c>
      <c r="B6" s="634">
        <v>0.7</v>
      </c>
      <c r="C6" s="3" t="s">
        <v>768</v>
      </c>
      <c r="D6" s="3"/>
      <c r="E6" s="3"/>
      <c r="F6" s="32"/>
      <c r="G6" s="3"/>
      <c r="H6" s="3"/>
      <c r="I6" s="3"/>
      <c r="J6" s="3"/>
      <c r="K6" s="3"/>
      <c r="L6" s="3"/>
      <c r="M6" s="3"/>
      <c r="N6" s="3"/>
      <c r="O6" s="3"/>
      <c r="P6" s="3"/>
      <c r="Q6" s="3"/>
      <c r="R6" s="3"/>
      <c r="S6" s="3"/>
      <c r="T6" s="3"/>
    </row>
    <row r="7" spans="1:21" ht="14" thickBot="1" x14ac:dyDescent="0.2">
      <c r="A7" s="636" t="s">
        <v>778</v>
      </c>
      <c r="B7" s="634">
        <v>55</v>
      </c>
      <c r="C7" s="3" t="s">
        <v>763</v>
      </c>
      <c r="D7" s="4" t="s">
        <v>878</v>
      </c>
      <c r="E7" s="4" t="s">
        <v>879</v>
      </c>
      <c r="F7" s="88">
        <f>21/(B5*B6)</f>
        <v>1.5</v>
      </c>
      <c r="G7" s="3" t="s">
        <v>729</v>
      </c>
      <c r="H7" s="550" t="s">
        <v>893</v>
      </c>
      <c r="I7" s="3"/>
      <c r="J7" s="3"/>
      <c r="K7" s="3"/>
      <c r="L7" s="3"/>
      <c r="M7" s="3"/>
      <c r="N7" s="3"/>
      <c r="O7" s="3"/>
      <c r="P7" s="3"/>
      <c r="Q7" s="3"/>
      <c r="R7" s="29" t="s">
        <v>512</v>
      </c>
      <c r="S7" s="902">
        <f>F7/2</f>
        <v>0.75</v>
      </c>
      <c r="T7" s="3"/>
    </row>
    <row r="8" spans="1:21" ht="14" thickBot="1" x14ac:dyDescent="0.2">
      <c r="A8" s="546"/>
      <c r="B8" s="90"/>
      <c r="C8" s="90"/>
      <c r="D8" s="90"/>
      <c r="E8" s="4"/>
      <c r="F8" s="551"/>
      <c r="G8" s="90"/>
      <c r="H8" s="229"/>
      <c r="I8" s="90"/>
      <c r="J8" s="90"/>
      <c r="K8" s="90"/>
      <c r="L8" s="90"/>
      <c r="M8" s="90"/>
      <c r="N8" s="90"/>
      <c r="O8" s="90"/>
      <c r="P8" s="90"/>
      <c r="Q8" s="90"/>
      <c r="R8" s="551"/>
      <c r="S8" s="901"/>
      <c r="T8" s="3"/>
    </row>
    <row r="9" spans="1:21" x14ac:dyDescent="0.15">
      <c r="A9" s="755" t="s">
        <v>868</v>
      </c>
      <c r="B9" s="533" t="s">
        <v>857</v>
      </c>
      <c r="C9" s="534"/>
      <c r="D9" s="534"/>
      <c r="E9" s="534"/>
      <c r="F9" s="557"/>
      <c r="G9" s="77"/>
      <c r="H9" s="77"/>
      <c r="I9" s="77"/>
      <c r="J9" s="77"/>
      <c r="K9" s="92"/>
      <c r="L9" s="3"/>
      <c r="M9" s="3"/>
      <c r="N9" s="3"/>
      <c r="O9" s="3"/>
      <c r="P9" s="3"/>
      <c r="Q9" s="3"/>
      <c r="R9" s="3"/>
      <c r="S9" s="3"/>
      <c r="T9" s="3"/>
    </row>
    <row r="10" spans="1:21" ht="14" thickBot="1" x14ac:dyDescent="0.2">
      <c r="A10" s="529"/>
      <c r="B10" s="547"/>
      <c r="C10" s="529" t="s">
        <v>512</v>
      </c>
      <c r="D10" s="529"/>
      <c r="E10" s="529"/>
      <c r="F10" s="558" t="s">
        <v>781</v>
      </c>
      <c r="G10" s="559"/>
      <c r="H10" s="559"/>
      <c r="I10" s="560" t="s">
        <v>782</v>
      </c>
      <c r="J10" s="559"/>
      <c r="K10" s="561"/>
      <c r="L10" s="3"/>
      <c r="M10" s="3"/>
      <c r="N10" s="3"/>
      <c r="O10" s="3"/>
      <c r="P10" s="3"/>
      <c r="Q10" s="4"/>
      <c r="R10" s="3"/>
      <c r="S10" s="3"/>
      <c r="T10" s="3"/>
      <c r="U10" s="128"/>
    </row>
    <row r="11" spans="1:21" x14ac:dyDescent="0.15">
      <c r="A11" s="529"/>
      <c r="B11" s="548">
        <v>1E-4</v>
      </c>
      <c r="C11" s="549">
        <f>((SIN(RADIANS(B11)))^2)/B11^2</f>
        <v>3.046174197863993E-4</v>
      </c>
      <c r="D11" s="548">
        <f>C11*1000000</f>
        <v>304.6174197863993</v>
      </c>
      <c r="E11" s="549">
        <f>D11/304.6174</f>
        <v>1.0000000649549217</v>
      </c>
      <c r="F11" s="251">
        <v>0</v>
      </c>
      <c r="G11" s="249" t="s">
        <v>554</v>
      </c>
      <c r="H11" s="249"/>
      <c r="I11" s="260">
        <f>(S7*B11)/79.76</f>
        <v>9.4032096288866603E-7</v>
      </c>
      <c r="J11" s="261" t="s">
        <v>769</v>
      </c>
      <c r="K11" s="83"/>
      <c r="L11" s="3"/>
      <c r="M11" s="3"/>
      <c r="N11" s="3"/>
      <c r="O11" s="3"/>
      <c r="P11" s="3"/>
      <c r="Q11" s="3"/>
      <c r="R11" s="3"/>
      <c r="S11" s="230"/>
      <c r="T11" s="3"/>
      <c r="U11" s="129"/>
    </row>
    <row r="12" spans="1:21" x14ac:dyDescent="0.15">
      <c r="A12" s="529"/>
      <c r="B12" s="548">
        <v>0.1</v>
      </c>
      <c r="C12" s="549">
        <f>((SIN(RADIANS(B12)))^2)/B12^2</f>
        <v>3.0461711048092603E-4</v>
      </c>
      <c r="D12" s="548">
        <f>C12*1000000</f>
        <v>304.61711048092604</v>
      </c>
      <c r="E12" s="548">
        <f t="shared" ref="E12:E75" si="0">D12/304.6174</f>
        <v>0.99999904956488395</v>
      </c>
      <c r="F12" s="708">
        <f>10*LOG10(E12)</f>
        <v>-4.1276892246433878E-6</v>
      </c>
      <c r="G12" s="249" t="s">
        <v>554</v>
      </c>
      <c r="H12" s="249"/>
      <c r="I12" s="250">
        <f>(S7*B12)/79.76</f>
        <v>9.4032096288866607E-4</v>
      </c>
      <c r="J12" s="82"/>
      <c r="K12" s="83"/>
      <c r="L12" s="3"/>
      <c r="M12" s="3"/>
      <c r="N12" s="3"/>
      <c r="O12" s="3"/>
      <c r="P12" s="3"/>
      <c r="Q12" s="3"/>
      <c r="R12" s="3"/>
      <c r="S12" s="3"/>
      <c r="T12" s="3"/>
      <c r="U12" s="130"/>
    </row>
    <row r="13" spans="1:21" x14ac:dyDescent="0.15">
      <c r="A13" s="529"/>
      <c r="B13" s="548">
        <v>3.5</v>
      </c>
      <c r="C13" s="548">
        <f>((SIN(RADIANS(B13)))^2)/B13^2</f>
        <v>3.0423870851746797E-4</v>
      </c>
      <c r="D13" s="548">
        <f>C13*1000000</f>
        <v>304.23870851746796</v>
      </c>
      <c r="E13" s="548">
        <f t="shared" si="0"/>
        <v>0.99875682911569719</v>
      </c>
      <c r="F13" s="251">
        <f>10*LOG10(E13)</f>
        <v>-5.4023812889198589E-3</v>
      </c>
      <c r="G13" s="249" t="s">
        <v>554</v>
      </c>
      <c r="H13" s="249" t="s">
        <v>512</v>
      </c>
      <c r="I13" s="250">
        <f>(S7*B13)/79.76</f>
        <v>3.2911233701103305E-2</v>
      </c>
      <c r="J13" s="82" t="s">
        <v>512</v>
      </c>
      <c r="K13" s="83"/>
      <c r="L13" s="3"/>
      <c r="M13" s="3"/>
      <c r="N13" s="3"/>
      <c r="O13" s="3"/>
      <c r="P13" s="3"/>
      <c r="Q13" s="3"/>
      <c r="R13" s="3"/>
      <c r="S13" s="3"/>
      <c r="T13" s="3"/>
      <c r="U13" s="131"/>
    </row>
    <row r="14" spans="1:21" x14ac:dyDescent="0.15">
      <c r="A14" s="529"/>
      <c r="B14" s="548">
        <v>10</v>
      </c>
      <c r="C14" s="548">
        <f t="shared" ref="C14:C77" si="1">((SIN(RADIANS(B14)))^2)/B14^2</f>
        <v>3.0153689607045805E-4</v>
      </c>
      <c r="D14" s="548">
        <f t="shared" ref="D14:D77" si="2">C14*1000000</f>
        <v>301.53689607045806</v>
      </c>
      <c r="E14" s="548">
        <f t="shared" si="0"/>
        <v>0.98988730148198389</v>
      </c>
      <c r="F14" s="251">
        <f>10*LOG10(E14)</f>
        <v>-4.4142469484505009E-2</v>
      </c>
      <c r="G14" s="249" t="s">
        <v>554</v>
      </c>
      <c r="H14" s="249"/>
      <c r="I14" s="894">
        <f>(S7*B14)/79.76</f>
        <v>9.4032096288866593E-2</v>
      </c>
      <c r="J14" s="82"/>
      <c r="K14" s="83"/>
      <c r="L14" s="3"/>
      <c r="M14" s="3"/>
      <c r="N14" s="3"/>
      <c r="O14" s="3"/>
      <c r="P14" s="3"/>
      <c r="Q14" s="29"/>
      <c r="R14" s="3"/>
      <c r="S14" s="3"/>
      <c r="T14" s="3"/>
      <c r="U14" s="131"/>
    </row>
    <row r="15" spans="1:21" x14ac:dyDescent="0.15">
      <c r="A15" s="529"/>
      <c r="B15" s="548">
        <v>25</v>
      </c>
      <c r="C15" s="548">
        <f t="shared" si="1"/>
        <v>2.8576991225076853E-4</v>
      </c>
      <c r="D15" s="548">
        <f t="shared" si="2"/>
        <v>285.76991225076853</v>
      </c>
      <c r="E15" s="548">
        <f t="shared" si="0"/>
        <v>0.93812734351605831</v>
      </c>
      <c r="F15" s="252">
        <f t="shared" ref="F15:F78" si="3">10*LOG10(E15)</f>
        <v>-0.27738205509447322</v>
      </c>
      <c r="G15" s="249" t="s">
        <v>554</v>
      </c>
      <c r="H15" s="249"/>
      <c r="I15" s="894">
        <f>(S7*B15)/79.76</f>
        <v>0.23508024072216649</v>
      </c>
      <c r="J15" s="82"/>
      <c r="K15" s="83"/>
      <c r="L15" s="3"/>
      <c r="M15" s="3"/>
      <c r="N15" s="3"/>
      <c r="O15" s="3"/>
      <c r="P15" s="3"/>
      <c r="Q15" s="553"/>
      <c r="R15" s="3"/>
      <c r="S15" s="3"/>
      <c r="T15" s="3"/>
      <c r="U15" s="131"/>
    </row>
    <row r="16" spans="1:21" x14ac:dyDescent="0.15">
      <c r="A16" s="529"/>
      <c r="B16" s="548">
        <v>30</v>
      </c>
      <c r="C16" s="548">
        <f t="shared" si="1"/>
        <v>2.7777777777777772E-4</v>
      </c>
      <c r="D16" s="548">
        <f t="shared" si="2"/>
        <v>277.77777777777771</v>
      </c>
      <c r="E16" s="548">
        <f t="shared" si="0"/>
        <v>0.91189071201375149</v>
      </c>
      <c r="F16" s="252">
        <f t="shared" si="3"/>
        <v>-0.4005720773893886</v>
      </c>
      <c r="G16" s="249" t="s">
        <v>554</v>
      </c>
      <c r="H16" s="249"/>
      <c r="I16" s="894">
        <f>(S7*B16)/79.76</f>
        <v>0.28209628886659976</v>
      </c>
      <c r="J16" s="82"/>
      <c r="K16" s="83"/>
      <c r="L16" s="3"/>
      <c r="M16" s="3"/>
      <c r="N16" s="3"/>
      <c r="O16" s="3"/>
      <c r="P16" s="3"/>
      <c r="Q16" s="553"/>
      <c r="R16" s="3"/>
      <c r="S16" s="3"/>
      <c r="T16" s="3"/>
      <c r="U16" s="131"/>
    </row>
    <row r="17" spans="1:21" x14ac:dyDescent="0.15">
      <c r="A17" s="529"/>
      <c r="B17" s="548">
        <v>40</v>
      </c>
      <c r="C17" s="548">
        <f t="shared" si="1"/>
        <v>2.5823494447908422E-4</v>
      </c>
      <c r="D17" s="548">
        <f t="shared" si="2"/>
        <v>258.23494447908422</v>
      </c>
      <c r="E17" s="548">
        <f t="shared" si="0"/>
        <v>0.84773537059630943</v>
      </c>
      <c r="F17" s="252">
        <f t="shared" si="3"/>
        <v>-0.71739696122706598</v>
      </c>
      <c r="G17" s="249" t="s">
        <v>554</v>
      </c>
      <c r="H17" s="249"/>
      <c r="I17" s="894">
        <f>(S7*B17)/79.76</f>
        <v>0.37612838515546637</v>
      </c>
      <c r="J17" s="82" t="s">
        <v>512</v>
      </c>
      <c r="K17" s="83"/>
      <c r="L17" s="3"/>
      <c r="M17" s="3"/>
      <c r="N17" s="3"/>
      <c r="O17" s="3"/>
      <c r="P17" s="3"/>
      <c r="Q17" s="553"/>
      <c r="R17" s="3"/>
      <c r="S17" s="3"/>
      <c r="T17" s="3"/>
      <c r="U17" s="131"/>
    </row>
    <row r="18" spans="1:21" x14ac:dyDescent="0.15">
      <c r="A18" s="529"/>
      <c r="B18" s="548">
        <v>47</v>
      </c>
      <c r="C18" s="548">
        <f t="shared" si="1"/>
        <v>2.4213591528839411E-4</v>
      </c>
      <c r="D18" s="548">
        <f t="shared" si="2"/>
        <v>242.1359152883941</v>
      </c>
      <c r="E18" s="548">
        <f t="shared" si="0"/>
        <v>0.79488537190716657</v>
      </c>
      <c r="F18" s="251">
        <f t="shared" si="3"/>
        <v>-0.99695495164283776</v>
      </c>
      <c r="G18" s="249" t="s">
        <v>554</v>
      </c>
      <c r="H18" s="249"/>
      <c r="I18" s="894">
        <f>(S7*B18)/79.76</f>
        <v>0.44195085255767297</v>
      </c>
      <c r="J18" s="82"/>
      <c r="K18" s="83"/>
      <c r="L18" s="3"/>
      <c r="M18" s="3"/>
      <c r="N18" s="3"/>
      <c r="O18" s="3"/>
      <c r="P18" s="3"/>
      <c r="Q18" s="553"/>
      <c r="R18" s="3"/>
      <c r="S18" s="3"/>
      <c r="T18" s="3"/>
      <c r="U18" s="39"/>
    </row>
    <row r="19" spans="1:21" x14ac:dyDescent="0.15">
      <c r="A19" s="529"/>
      <c r="B19" s="548">
        <v>56.5</v>
      </c>
      <c r="C19" s="548">
        <f t="shared" si="1"/>
        <v>2.1782929414821425E-4</v>
      </c>
      <c r="D19" s="548">
        <f t="shared" si="2"/>
        <v>217.82929414821425</v>
      </c>
      <c r="E19" s="548">
        <f t="shared" si="0"/>
        <v>0.71509143649776497</v>
      </c>
      <c r="F19" s="252">
        <f t="shared" si="3"/>
        <v>-1.4563842277584849</v>
      </c>
      <c r="G19" s="249" t="s">
        <v>554</v>
      </c>
      <c r="H19" s="249"/>
      <c r="I19" s="894">
        <f>(S7*B19)/79.76</f>
        <v>0.53128134403209626</v>
      </c>
      <c r="J19" s="82" t="s">
        <v>512</v>
      </c>
      <c r="K19" s="83"/>
      <c r="L19" s="3"/>
      <c r="M19" s="3"/>
      <c r="N19" s="3"/>
      <c r="O19" s="3"/>
      <c r="P19" s="3"/>
      <c r="Q19" s="553"/>
      <c r="R19" s="3"/>
      <c r="S19" s="3"/>
      <c r="T19" s="3"/>
      <c r="U19" s="39"/>
    </row>
    <row r="20" spans="1:21" x14ac:dyDescent="0.15">
      <c r="A20" s="529"/>
      <c r="B20" s="548">
        <v>60</v>
      </c>
      <c r="C20" s="548">
        <f t="shared" si="1"/>
        <v>2.0833333333333329E-4</v>
      </c>
      <c r="D20" s="548">
        <f t="shared" si="2"/>
        <v>208.33333333333329</v>
      </c>
      <c r="E20" s="548">
        <f t="shared" si="0"/>
        <v>0.68391803401031359</v>
      </c>
      <c r="F20" s="252">
        <f t="shared" si="3"/>
        <v>-1.6499594434723883</v>
      </c>
      <c r="G20" s="249" t="s">
        <v>554</v>
      </c>
      <c r="H20" s="249"/>
      <c r="I20" s="894">
        <f>(S7*B20)/79.76</f>
        <v>0.56419257773319953</v>
      </c>
      <c r="J20" s="82"/>
      <c r="K20" s="83"/>
      <c r="L20" s="3"/>
      <c r="M20" s="3"/>
      <c r="N20" s="3"/>
      <c r="O20" s="3"/>
      <c r="P20" s="3"/>
      <c r="Q20" s="553"/>
      <c r="R20" s="3"/>
      <c r="S20" s="3"/>
      <c r="T20" s="3"/>
      <c r="U20" s="39"/>
    </row>
    <row r="21" spans="1:21" x14ac:dyDescent="0.15">
      <c r="A21" s="529"/>
      <c r="B21" s="548">
        <v>70</v>
      </c>
      <c r="C21" s="548">
        <f t="shared" si="1"/>
        <v>1.8020861664479364E-4</v>
      </c>
      <c r="D21" s="548">
        <f t="shared" si="2"/>
        <v>180.20861664479364</v>
      </c>
      <c r="E21" s="548">
        <f t="shared" si="0"/>
        <v>0.59159002947564276</v>
      </c>
      <c r="F21" s="252">
        <f t="shared" si="3"/>
        <v>-2.2797915411429233</v>
      </c>
      <c r="G21" s="249" t="s">
        <v>554</v>
      </c>
      <c r="H21" s="249"/>
      <c r="I21" s="894">
        <f>(S7*B21)/79.76</f>
        <v>0.65822467402206619</v>
      </c>
      <c r="J21" s="82"/>
      <c r="K21" s="83"/>
      <c r="L21" s="3"/>
      <c r="M21" s="3"/>
      <c r="N21" s="3"/>
      <c r="O21" s="3"/>
      <c r="P21" s="3"/>
      <c r="Q21" s="554"/>
      <c r="R21" s="3"/>
      <c r="S21" s="230"/>
      <c r="T21" s="3"/>
      <c r="U21" s="130"/>
    </row>
    <row r="22" spans="1:21" x14ac:dyDescent="0.15">
      <c r="A22" s="529"/>
      <c r="B22" s="548">
        <v>79.760000000000005</v>
      </c>
      <c r="C22" s="548">
        <f t="shared" si="1"/>
        <v>1.5222403494475541E-4</v>
      </c>
      <c r="D22" s="548">
        <f t="shared" si="2"/>
        <v>152.2240349447554</v>
      </c>
      <c r="E22" s="548">
        <f t="shared" si="0"/>
        <v>0.49972206100096517</v>
      </c>
      <c r="F22" s="253">
        <f t="shared" si="3"/>
        <v>-3.0127147753460362</v>
      </c>
      <c r="G22" s="249" t="s">
        <v>554</v>
      </c>
      <c r="H22" s="249"/>
      <c r="I22" s="751">
        <f>(S7*B22)/79.76</f>
        <v>0.75</v>
      </c>
      <c r="J22" s="254" t="s">
        <v>779</v>
      </c>
      <c r="K22" s="255"/>
      <c r="L22" s="3"/>
      <c r="M22" s="3"/>
      <c r="N22" s="3"/>
      <c r="O22" s="3"/>
      <c r="P22" s="3"/>
      <c r="Q22" s="555"/>
      <c r="R22" s="3"/>
      <c r="S22" s="3"/>
      <c r="T22" s="3"/>
      <c r="U22" s="39"/>
    </row>
    <row r="23" spans="1:21" x14ac:dyDescent="0.15">
      <c r="A23" s="529"/>
      <c r="B23" s="548">
        <v>80</v>
      </c>
      <c r="C23" s="548">
        <f t="shared" si="1"/>
        <v>1.5153848599889908E-4</v>
      </c>
      <c r="D23" s="548">
        <f t="shared" si="2"/>
        <v>151.53848599889909</v>
      </c>
      <c r="E23" s="548">
        <f t="shared" si="0"/>
        <v>0.49747153642207931</v>
      </c>
      <c r="F23" s="251">
        <f t="shared" si="3"/>
        <v>-3.032317630156677</v>
      </c>
      <c r="G23" s="249" t="s">
        <v>554</v>
      </c>
      <c r="H23" s="249"/>
      <c r="I23" s="894">
        <f>(S7*B23)/79.76</f>
        <v>0.75225677031093274</v>
      </c>
      <c r="J23" s="82" t="s">
        <v>512</v>
      </c>
      <c r="K23" s="83"/>
      <c r="L23" s="3"/>
      <c r="M23" s="3"/>
      <c r="N23" s="3"/>
      <c r="O23" s="3"/>
      <c r="P23" s="3"/>
      <c r="Q23" s="553"/>
      <c r="R23" s="3"/>
      <c r="S23" s="3"/>
      <c r="T23" s="3"/>
      <c r="U23" s="39"/>
    </row>
    <row r="24" spans="1:21" x14ac:dyDescent="0.15">
      <c r="A24" s="529"/>
      <c r="B24" s="548">
        <v>90.8</v>
      </c>
      <c r="C24" s="548">
        <f t="shared" si="1"/>
        <v>1.2126727880419004E-4</v>
      </c>
      <c r="D24" s="548">
        <f t="shared" si="2"/>
        <v>121.26727880419004</v>
      </c>
      <c r="E24" s="548">
        <f t="shared" si="0"/>
        <v>0.39809701876580278</v>
      </c>
      <c r="F24" s="251">
        <f t="shared" si="3"/>
        <v>-4.000110747103232</v>
      </c>
      <c r="G24" s="249" t="s">
        <v>554</v>
      </c>
      <c r="H24" s="249"/>
      <c r="I24" s="894">
        <f>(S7*B24)/79.76</f>
        <v>0.85381143430290862</v>
      </c>
      <c r="J24" s="82"/>
      <c r="K24" s="83"/>
      <c r="L24" s="3"/>
      <c r="M24" s="3"/>
      <c r="N24" s="3"/>
      <c r="O24" s="3"/>
      <c r="P24" s="3"/>
      <c r="Q24" s="553"/>
      <c r="R24" s="3"/>
      <c r="S24" s="3"/>
      <c r="T24" s="3"/>
      <c r="U24" s="39"/>
    </row>
    <row r="25" spans="1:21" x14ac:dyDescent="0.15">
      <c r="A25" s="529"/>
      <c r="B25" s="548">
        <v>100</v>
      </c>
      <c r="C25" s="548">
        <f t="shared" si="1"/>
        <v>9.6984631039295408E-5</v>
      </c>
      <c r="D25" s="548">
        <f t="shared" si="2"/>
        <v>96.984631039295408</v>
      </c>
      <c r="E25" s="548">
        <f t="shared" si="0"/>
        <v>0.31838178331013073</v>
      </c>
      <c r="F25" s="252">
        <f t="shared" si="3"/>
        <v>-4.9705178903178053</v>
      </c>
      <c r="G25" s="249" t="s">
        <v>554</v>
      </c>
      <c r="H25" s="249"/>
      <c r="I25" s="894">
        <f>(S7*B25)/79.76</f>
        <v>0.94032096288866596</v>
      </c>
      <c r="J25" s="82"/>
      <c r="K25" s="83"/>
      <c r="L25" s="3"/>
      <c r="M25" s="3"/>
      <c r="N25" s="3"/>
      <c r="O25" s="3"/>
      <c r="P25" s="3"/>
      <c r="Q25" s="553"/>
      <c r="R25" s="3"/>
      <c r="S25" s="3"/>
      <c r="T25" s="3"/>
      <c r="U25" s="39"/>
    </row>
    <row r="26" spans="1:21" x14ac:dyDescent="0.15">
      <c r="A26" s="529"/>
      <c r="B26" s="548">
        <v>110</v>
      </c>
      <c r="C26" s="548">
        <f t="shared" si="1"/>
        <v>7.2977043104090002E-5</v>
      </c>
      <c r="D26" s="548">
        <f t="shared" si="2"/>
        <v>72.977043104090001</v>
      </c>
      <c r="E26" s="548">
        <f t="shared" si="0"/>
        <v>0.23956951606864876</v>
      </c>
      <c r="F26" s="252">
        <f t="shared" si="3"/>
        <v>-6.2056844440222871</v>
      </c>
      <c r="G26" s="249" t="s">
        <v>554</v>
      </c>
      <c r="H26" s="249"/>
      <c r="I26" s="894">
        <f>(S7*B26)/79.76</f>
        <v>1.0343530591775325</v>
      </c>
      <c r="J26" s="82"/>
      <c r="K26" s="83"/>
      <c r="L26" s="3"/>
      <c r="M26" s="3"/>
      <c r="N26" s="3"/>
      <c r="O26" s="3"/>
      <c r="P26" s="3"/>
      <c r="Q26" s="553"/>
      <c r="R26" s="3"/>
      <c r="S26" s="3"/>
      <c r="T26" s="3"/>
      <c r="U26" s="39"/>
    </row>
    <row r="27" spans="1:21" x14ac:dyDescent="0.15">
      <c r="A27" s="529"/>
      <c r="B27" s="548">
        <v>120</v>
      </c>
      <c r="C27" s="548">
        <f t="shared" si="1"/>
        <v>5.2083333333333343E-5</v>
      </c>
      <c r="D27" s="548">
        <f t="shared" si="2"/>
        <v>52.083333333333343</v>
      </c>
      <c r="E27" s="548">
        <f t="shared" si="0"/>
        <v>0.17097950850257848</v>
      </c>
      <c r="F27" s="252">
        <f t="shared" si="3"/>
        <v>-7.6705593567520101</v>
      </c>
      <c r="G27" s="249" t="s">
        <v>554</v>
      </c>
      <c r="H27" s="249"/>
      <c r="I27" s="894">
        <f>(S7*B27)/79.76</f>
        <v>1.1283851554663991</v>
      </c>
      <c r="J27" s="82"/>
      <c r="K27" s="83"/>
      <c r="L27" s="3"/>
      <c r="M27" s="3"/>
      <c r="N27" s="3"/>
      <c r="O27" s="3"/>
      <c r="P27" s="3"/>
      <c r="Q27" s="553"/>
      <c r="R27" s="3"/>
      <c r="S27" s="3"/>
      <c r="T27" s="3"/>
      <c r="U27" s="39"/>
    </row>
    <row r="28" spans="1:21" x14ac:dyDescent="0.15">
      <c r="A28" s="529"/>
      <c r="B28" s="548">
        <v>130</v>
      </c>
      <c r="C28" s="548">
        <f t="shared" si="1"/>
        <v>3.4723318865885511E-5</v>
      </c>
      <c r="D28" s="548">
        <f t="shared" si="2"/>
        <v>34.72331886588551</v>
      </c>
      <c r="E28" s="548">
        <f t="shared" si="0"/>
        <v>0.11398993907073435</v>
      </c>
      <c r="F28" s="252">
        <f t="shared" si="3"/>
        <v>-9.4313347847828624</v>
      </c>
      <c r="G28" s="249" t="s">
        <v>554</v>
      </c>
      <c r="H28" s="249"/>
      <c r="I28" s="894">
        <f>(S7*B28)/79.76</f>
        <v>1.2224172517552656</v>
      </c>
      <c r="J28" s="82"/>
      <c r="K28" s="83"/>
      <c r="L28" s="3"/>
      <c r="M28" s="3"/>
      <c r="N28" s="3"/>
      <c r="O28" s="3"/>
      <c r="P28" s="3"/>
      <c r="Q28" s="553"/>
      <c r="R28" s="3"/>
      <c r="S28" s="3"/>
      <c r="T28" s="3"/>
      <c r="U28" s="39"/>
    </row>
    <row r="29" spans="1:21" x14ac:dyDescent="0.15">
      <c r="A29" s="529"/>
      <c r="B29" s="548">
        <v>140</v>
      </c>
      <c r="C29" s="548">
        <f t="shared" si="1"/>
        <v>2.1080403630945664E-5</v>
      </c>
      <c r="D29" s="548">
        <f t="shared" si="2"/>
        <v>21.080403630945664</v>
      </c>
      <c r="E29" s="548">
        <f t="shared" si="0"/>
        <v>6.9202887395617141E-2</v>
      </c>
      <c r="F29" s="252">
        <f t="shared" si="3"/>
        <v>-11.598757848232577</v>
      </c>
      <c r="G29" s="249" t="s">
        <v>554</v>
      </c>
      <c r="H29" s="249"/>
      <c r="I29" s="894">
        <f>(S7*B29)/79.76</f>
        <v>1.3164493480441324</v>
      </c>
      <c r="J29" s="82"/>
      <c r="K29" s="83"/>
      <c r="L29" s="3"/>
      <c r="M29" s="3"/>
      <c r="N29" s="3"/>
      <c r="O29" s="3"/>
      <c r="P29" s="3"/>
      <c r="Q29" s="553"/>
      <c r="R29" s="3"/>
      <c r="S29" s="3"/>
      <c r="T29" s="3"/>
      <c r="U29" s="39"/>
    </row>
    <row r="30" spans="1:21" x14ac:dyDescent="0.15">
      <c r="A30" s="529"/>
      <c r="B30" s="548">
        <v>150</v>
      </c>
      <c r="C30" s="548">
        <f t="shared" si="1"/>
        <v>1.1111111111111108E-5</v>
      </c>
      <c r="D30" s="548">
        <f t="shared" si="2"/>
        <v>11.111111111111109</v>
      </c>
      <c r="E30" s="548">
        <f t="shared" si="0"/>
        <v>3.6475628480550061E-2</v>
      </c>
      <c r="F30" s="252">
        <f t="shared" si="3"/>
        <v>-14.379972164109764</v>
      </c>
      <c r="G30" s="249" t="s">
        <v>554</v>
      </c>
      <c r="H30" s="249"/>
      <c r="I30" s="894">
        <f>(S7*B30)/79.76</f>
        <v>1.4104814443329989</v>
      </c>
      <c r="J30" s="82"/>
      <c r="K30" s="83"/>
      <c r="L30" s="3"/>
      <c r="M30" s="3"/>
      <c r="N30" s="3"/>
      <c r="O30" s="3"/>
      <c r="P30" s="3"/>
      <c r="Q30" s="553"/>
      <c r="R30" s="3"/>
      <c r="S30" s="3"/>
      <c r="T30" s="3"/>
      <c r="U30" s="39"/>
    </row>
    <row r="31" spans="1:21" x14ac:dyDescent="0.15">
      <c r="A31" s="529"/>
      <c r="B31" s="548">
        <v>160</v>
      </c>
      <c r="C31" s="548">
        <f t="shared" si="1"/>
        <v>4.5694444703324642E-6</v>
      </c>
      <c r="D31" s="548">
        <f t="shared" si="2"/>
        <v>4.5694444703324644</v>
      </c>
      <c r="E31" s="548">
        <f t="shared" si="0"/>
        <v>1.5000602297611576E-2</v>
      </c>
      <c r="F31" s="252">
        <f t="shared" si="3"/>
        <v>-18.23891302992466</v>
      </c>
      <c r="G31" s="249" t="s">
        <v>554</v>
      </c>
      <c r="H31" s="249"/>
      <c r="I31" s="894">
        <f>(S7*B31)/79.76</f>
        <v>1.5045135406218655</v>
      </c>
      <c r="J31" s="82"/>
      <c r="K31" s="83"/>
      <c r="L31" s="3"/>
      <c r="M31" s="3"/>
      <c r="N31" s="3"/>
      <c r="O31" s="3"/>
      <c r="P31" s="3"/>
      <c r="Q31" s="553"/>
      <c r="R31" s="3"/>
      <c r="S31" s="3"/>
      <c r="T31" s="3"/>
      <c r="U31" s="39"/>
    </row>
    <row r="32" spans="1:21" x14ac:dyDescent="0.15">
      <c r="A32" s="529"/>
      <c r="B32" s="548">
        <v>170</v>
      </c>
      <c r="C32" s="548">
        <f t="shared" si="1"/>
        <v>1.0433802632195773E-6</v>
      </c>
      <c r="D32" s="548">
        <f t="shared" si="2"/>
        <v>1.0433802632195772</v>
      </c>
      <c r="E32" s="548">
        <f t="shared" si="0"/>
        <v>3.4252155760622254E-3</v>
      </c>
      <c r="F32" s="252">
        <f t="shared" si="3"/>
        <v>-24.653120897049984</v>
      </c>
      <c r="G32" s="249" t="s">
        <v>554</v>
      </c>
      <c r="H32" s="249"/>
      <c r="I32" s="894">
        <f>(S7*B32)/79.76</f>
        <v>1.598545636910732</v>
      </c>
      <c r="J32" s="82"/>
      <c r="K32" s="83"/>
      <c r="L32" s="3"/>
      <c r="M32" s="3"/>
      <c r="N32" s="3"/>
      <c r="O32" s="3"/>
      <c r="P32" s="3"/>
      <c r="Q32" s="553"/>
      <c r="R32" s="3"/>
      <c r="S32" s="3"/>
      <c r="T32" s="3"/>
      <c r="U32" s="39"/>
    </row>
    <row r="33" spans="1:21" x14ac:dyDescent="0.15">
      <c r="A33" s="529"/>
      <c r="B33" s="548">
        <v>180</v>
      </c>
      <c r="C33" s="548">
        <f t="shared" si="1"/>
        <v>4.6288882180921528E-37</v>
      </c>
      <c r="D33" s="548">
        <f t="shared" si="2"/>
        <v>4.6288882180921531E-31</v>
      </c>
      <c r="E33" s="548">
        <f t="shared" si="0"/>
        <v>1.5195744622901231E-33</v>
      </c>
      <c r="F33" s="256">
        <f t="shared" si="3"/>
        <v>-328.18278013735159</v>
      </c>
      <c r="G33" s="249" t="s">
        <v>554</v>
      </c>
      <c r="H33" s="249"/>
      <c r="I33" s="895">
        <f>(S7*B33)/79.76</f>
        <v>1.6925777331995986</v>
      </c>
      <c r="J33" s="191" t="s">
        <v>770</v>
      </c>
      <c r="K33" s="83"/>
      <c r="L33" s="3"/>
      <c r="M33" s="3"/>
      <c r="N33" s="3"/>
      <c r="O33" s="3"/>
      <c r="P33" s="3"/>
      <c r="Q33" s="553"/>
      <c r="R33" s="3"/>
      <c r="S33" s="3"/>
      <c r="T33" s="3"/>
      <c r="U33" s="39"/>
    </row>
    <row r="34" spans="1:21" x14ac:dyDescent="0.15">
      <c r="A34" s="529"/>
      <c r="B34" s="548">
        <v>190</v>
      </c>
      <c r="C34" s="548">
        <f t="shared" si="1"/>
        <v>8.3528226058298746E-7</v>
      </c>
      <c r="D34" s="548">
        <f t="shared" si="2"/>
        <v>0.83528226058298749</v>
      </c>
      <c r="E34" s="548">
        <f t="shared" si="0"/>
        <v>2.7420700872077155E-3</v>
      </c>
      <c r="F34" s="252">
        <f t="shared" si="3"/>
        <v>-25.619214488541079</v>
      </c>
      <c r="G34" s="249" t="s">
        <v>554</v>
      </c>
      <c r="H34" s="249"/>
      <c r="I34" s="894">
        <f>(S7*B34)/79.76</f>
        <v>1.7866098294884654</v>
      </c>
      <c r="J34" s="82"/>
      <c r="K34" s="83"/>
      <c r="L34" s="3"/>
      <c r="M34" s="3"/>
      <c r="N34" s="3"/>
      <c r="O34" s="3"/>
      <c r="P34" s="3"/>
      <c r="Q34" s="553"/>
      <c r="R34" s="3"/>
      <c r="S34" s="3"/>
      <c r="T34" s="3"/>
      <c r="U34" s="39"/>
    </row>
    <row r="35" spans="1:21" x14ac:dyDescent="0.15">
      <c r="A35" s="529"/>
      <c r="B35" s="548">
        <v>200</v>
      </c>
      <c r="C35" s="548">
        <f t="shared" si="1"/>
        <v>2.924444461012773E-6</v>
      </c>
      <c r="D35" s="548">
        <f t="shared" si="2"/>
        <v>2.9244444610127731</v>
      </c>
      <c r="E35" s="548">
        <f t="shared" si="0"/>
        <v>9.6003854704713957E-3</v>
      </c>
      <c r="F35" s="252">
        <f t="shared" si="3"/>
        <v>-20.177113290085799</v>
      </c>
      <c r="G35" s="249" t="s">
        <v>554</v>
      </c>
      <c r="H35" s="249"/>
      <c r="I35" s="894">
        <f>(S7*B35)/79.76</f>
        <v>1.8806419257773319</v>
      </c>
      <c r="J35" s="82"/>
      <c r="K35" s="83"/>
      <c r="L35" s="3"/>
      <c r="M35" s="3"/>
      <c r="N35" s="3"/>
      <c r="O35" s="3"/>
      <c r="P35" s="3"/>
      <c r="Q35" s="553"/>
      <c r="R35" s="3"/>
      <c r="S35" s="3"/>
      <c r="T35" s="3"/>
      <c r="U35" s="39"/>
    </row>
    <row r="36" spans="1:21" x14ac:dyDescent="0.15">
      <c r="A36" s="529"/>
      <c r="B36" s="548">
        <v>210</v>
      </c>
      <c r="C36" s="548">
        <f t="shared" si="1"/>
        <v>5.6689342403628144E-6</v>
      </c>
      <c r="D36" s="548">
        <f t="shared" si="2"/>
        <v>5.6689342403628142</v>
      </c>
      <c r="E36" s="548">
        <f t="shared" si="0"/>
        <v>1.86100145308929E-2</v>
      </c>
      <c r="F36" s="252">
        <f t="shared" si="3"/>
        <v>-17.302532877674523</v>
      </c>
      <c r="G36" s="249" t="s">
        <v>554</v>
      </c>
      <c r="H36" s="249"/>
      <c r="I36" s="894">
        <f>(S7*B36)/79.76</f>
        <v>1.9746740220661985</v>
      </c>
      <c r="J36" s="82"/>
      <c r="K36" s="83"/>
      <c r="L36" s="3"/>
      <c r="M36" s="3"/>
      <c r="N36" s="3"/>
      <c r="O36" s="3"/>
      <c r="P36" s="3"/>
      <c r="Q36" s="553"/>
      <c r="R36" s="3"/>
      <c r="S36" s="3"/>
      <c r="T36" s="3"/>
      <c r="U36" s="39"/>
    </row>
    <row r="37" spans="1:21" x14ac:dyDescent="0.15">
      <c r="A37" s="529"/>
      <c r="B37" s="548">
        <v>220</v>
      </c>
      <c r="C37" s="548">
        <f t="shared" si="1"/>
        <v>8.5366923794738577E-6</v>
      </c>
      <c r="D37" s="548">
        <f t="shared" si="2"/>
        <v>8.5366923794738572</v>
      </c>
      <c r="E37" s="548">
        <f t="shared" si="0"/>
        <v>2.8024309771778822E-2</v>
      </c>
      <c r="F37" s="252">
        <f t="shared" si="3"/>
        <v>-15.524650751111944</v>
      </c>
      <c r="G37" s="249" t="s">
        <v>554</v>
      </c>
      <c r="H37" s="249"/>
      <c r="I37" s="894">
        <f>(S7*B37)/79.76</f>
        <v>2.068706118355065</v>
      </c>
      <c r="J37" s="82"/>
      <c r="K37" s="83"/>
      <c r="L37" s="3"/>
      <c r="M37" s="3"/>
      <c r="N37" s="3"/>
      <c r="O37" s="3"/>
      <c r="P37" s="3"/>
      <c r="Q37" s="553"/>
      <c r="R37" s="3"/>
      <c r="S37" s="3"/>
      <c r="T37" s="3"/>
      <c r="U37" s="39"/>
    </row>
    <row r="38" spans="1:21" x14ac:dyDescent="0.15">
      <c r="A38" s="529"/>
      <c r="B38" s="548">
        <v>230</v>
      </c>
      <c r="C38" s="548">
        <f t="shared" si="1"/>
        <v>1.1093082964715783E-5</v>
      </c>
      <c r="D38" s="548">
        <f t="shared" si="2"/>
        <v>11.093082964715784</v>
      </c>
      <c r="E38" s="548">
        <f t="shared" si="0"/>
        <v>3.6416445563240266E-2</v>
      </c>
      <c r="F38" s="252">
        <f t="shared" si="3"/>
        <v>-14.387024458997985</v>
      </c>
      <c r="G38" s="249" t="s">
        <v>554</v>
      </c>
      <c r="H38" s="249"/>
      <c r="I38" s="894">
        <f>(S7*B38)/79.76</f>
        <v>2.1627382146439316</v>
      </c>
      <c r="J38" s="82"/>
      <c r="K38" s="83"/>
      <c r="L38" s="3"/>
      <c r="M38" s="3"/>
      <c r="N38" s="3"/>
      <c r="O38" s="3"/>
      <c r="P38" s="3"/>
      <c r="Q38" s="553"/>
      <c r="R38" s="3"/>
      <c r="S38" s="3"/>
      <c r="T38" s="3"/>
      <c r="U38" s="39"/>
    </row>
    <row r="39" spans="1:21" x14ac:dyDescent="0.15">
      <c r="A39" s="529"/>
      <c r="B39" s="548">
        <v>240</v>
      </c>
      <c r="C39" s="548">
        <f t="shared" si="1"/>
        <v>1.3020833333333326E-5</v>
      </c>
      <c r="D39" s="548">
        <f t="shared" si="2"/>
        <v>13.020833333333325</v>
      </c>
      <c r="E39" s="548">
        <f t="shared" si="0"/>
        <v>4.2744877125644586E-2</v>
      </c>
      <c r="F39" s="252">
        <f t="shared" si="3"/>
        <v>-13.691159270031637</v>
      </c>
      <c r="G39" s="249" t="s">
        <v>554</v>
      </c>
      <c r="H39" s="249"/>
      <c r="I39" s="894">
        <f>(S7*B39)/79.76</f>
        <v>2.2567703109327981</v>
      </c>
      <c r="J39" s="82"/>
      <c r="K39" s="83"/>
      <c r="L39" s="3"/>
      <c r="M39" s="3"/>
      <c r="N39" s="3"/>
      <c r="O39" s="3"/>
      <c r="P39" s="3"/>
      <c r="Q39" s="553"/>
      <c r="R39" s="3"/>
      <c r="S39" s="230"/>
      <c r="T39" s="3"/>
      <c r="U39" s="39"/>
    </row>
    <row r="40" spans="1:21" x14ac:dyDescent="0.15">
      <c r="A40" s="529"/>
      <c r="B40" s="548">
        <v>250</v>
      </c>
      <c r="C40" s="548">
        <f t="shared" si="1"/>
        <v>1.4128355544951825E-5</v>
      </c>
      <c r="D40" s="548">
        <f t="shared" si="2"/>
        <v>14.128355544951825</v>
      </c>
      <c r="E40" s="548">
        <f t="shared" si="0"/>
        <v>4.6380658310890402E-2</v>
      </c>
      <c r="F40" s="257">
        <f t="shared" si="3"/>
        <v>-13.336630914298537</v>
      </c>
      <c r="G40" s="249" t="s">
        <v>554</v>
      </c>
      <c r="H40" s="249"/>
      <c r="I40" s="896">
        <f>(S7*B40)/79.76</f>
        <v>2.3508024072216647</v>
      </c>
      <c r="J40" s="258" t="s">
        <v>771</v>
      </c>
      <c r="K40" s="259"/>
      <c r="L40" s="3"/>
      <c r="M40" s="3"/>
      <c r="N40" s="3"/>
      <c r="O40" s="3"/>
      <c r="P40" s="3"/>
      <c r="Q40" s="553"/>
      <c r="R40" s="3"/>
      <c r="S40" s="3"/>
      <c r="T40" s="3"/>
      <c r="U40" s="39"/>
    </row>
    <row r="41" spans="1:21" x14ac:dyDescent="0.15">
      <c r="A41" s="529"/>
      <c r="B41" s="548">
        <v>260</v>
      </c>
      <c r="C41" s="548">
        <f t="shared" si="1"/>
        <v>1.4346838911138375E-5</v>
      </c>
      <c r="D41" s="548">
        <f t="shared" si="2"/>
        <v>14.346838911138374</v>
      </c>
      <c r="E41" s="548">
        <f t="shared" si="0"/>
        <v>4.7097896939368451E-2</v>
      </c>
      <c r="F41" s="252">
        <f t="shared" si="3"/>
        <v>-13.269984849734165</v>
      </c>
      <c r="G41" s="249" t="s">
        <v>554</v>
      </c>
      <c r="H41" s="249"/>
      <c r="I41" s="894">
        <f>(S7*B41)/79.76</f>
        <v>2.4448345035105312</v>
      </c>
      <c r="J41" s="82"/>
      <c r="K41" s="83"/>
      <c r="L41" s="3"/>
      <c r="M41" s="3"/>
      <c r="N41" s="3"/>
      <c r="O41" s="3"/>
      <c r="P41" s="3"/>
      <c r="Q41" s="553"/>
      <c r="R41" s="3"/>
      <c r="S41" s="3"/>
      <c r="T41" s="3"/>
      <c r="U41" s="39"/>
    </row>
    <row r="42" spans="1:21" x14ac:dyDescent="0.15">
      <c r="A42" s="529"/>
      <c r="B42" s="548">
        <v>270</v>
      </c>
      <c r="C42" s="548">
        <f t="shared" si="1"/>
        <v>1.3717421124828532E-5</v>
      </c>
      <c r="D42" s="548">
        <f t="shared" si="2"/>
        <v>13.717421124828531</v>
      </c>
      <c r="E42" s="548">
        <f t="shared" si="0"/>
        <v>4.5031640099444527E-2</v>
      </c>
      <c r="F42" s="252">
        <f t="shared" si="3"/>
        <v>-13.464822352896261</v>
      </c>
      <c r="G42" s="249" t="s">
        <v>554</v>
      </c>
      <c r="H42" s="249"/>
      <c r="I42" s="894">
        <f>(S7*B42)/79.76</f>
        <v>2.5388665997993982</v>
      </c>
      <c r="J42" s="82"/>
      <c r="K42" s="83"/>
      <c r="L42" s="3"/>
      <c r="M42" s="3"/>
      <c r="N42" s="3"/>
      <c r="O42" s="3"/>
      <c r="P42" s="3"/>
      <c r="Q42" s="553"/>
      <c r="R42" s="3"/>
      <c r="S42" s="3"/>
      <c r="T42" s="3"/>
      <c r="U42" s="39"/>
    </row>
    <row r="43" spans="1:21" x14ac:dyDescent="0.15">
      <c r="A43" s="529"/>
      <c r="B43" s="548">
        <v>280</v>
      </c>
      <c r="C43" s="548">
        <f t="shared" si="1"/>
        <v>1.2370488652971357E-5</v>
      </c>
      <c r="D43" s="548">
        <f t="shared" si="2"/>
        <v>12.370488652971357</v>
      </c>
      <c r="E43" s="548">
        <f t="shared" si="0"/>
        <v>4.0609921340577913E-2</v>
      </c>
      <c r="F43" s="252">
        <f t="shared" si="3"/>
        <v>-13.91367851716219</v>
      </c>
      <c r="G43" s="249" t="s">
        <v>554</v>
      </c>
      <c r="H43" s="249"/>
      <c r="I43" s="894">
        <f>(S7*B43)/79.76</f>
        <v>2.6328986960882648</v>
      </c>
      <c r="J43" s="82"/>
      <c r="K43" s="83"/>
      <c r="L43" s="3"/>
      <c r="M43" s="3"/>
      <c r="N43" s="3"/>
      <c r="O43" s="3"/>
      <c r="P43" s="3"/>
      <c r="Q43" s="553"/>
      <c r="R43" s="3"/>
      <c r="S43" s="3"/>
      <c r="T43" s="3"/>
      <c r="U43" s="39"/>
    </row>
    <row r="44" spans="1:21" x14ac:dyDescent="0.15">
      <c r="A44" s="529"/>
      <c r="B44" s="548">
        <v>290</v>
      </c>
      <c r="C44" s="548">
        <f t="shared" si="1"/>
        <v>1.0499669697496894E-5</v>
      </c>
      <c r="D44" s="548">
        <f t="shared" si="2"/>
        <v>10.499669697496895</v>
      </c>
      <c r="E44" s="548">
        <f t="shared" si="0"/>
        <v>3.4468384594894763E-2</v>
      </c>
      <c r="F44" s="252">
        <f t="shared" si="3"/>
        <v>-14.625790698836909</v>
      </c>
      <c r="G44" s="249" t="s">
        <v>554</v>
      </c>
      <c r="H44" s="249"/>
      <c r="I44" s="894">
        <f>(S7*B44)/79.76</f>
        <v>2.7269307923771313</v>
      </c>
      <c r="J44" s="82"/>
      <c r="K44" s="83"/>
      <c r="L44" s="3"/>
      <c r="M44" s="3"/>
      <c r="N44" s="3"/>
      <c r="O44" s="3"/>
      <c r="P44" s="3"/>
      <c r="Q44" s="553"/>
      <c r="R44" s="3"/>
      <c r="S44" s="3"/>
      <c r="T44" s="3"/>
      <c r="U44" s="39"/>
    </row>
    <row r="45" spans="1:21" x14ac:dyDescent="0.15">
      <c r="A45" s="529"/>
      <c r="B45" s="548">
        <v>300</v>
      </c>
      <c r="C45" s="548">
        <f t="shared" si="1"/>
        <v>8.333333333333332E-6</v>
      </c>
      <c r="D45" s="548">
        <f t="shared" si="2"/>
        <v>8.3333333333333321</v>
      </c>
      <c r="E45" s="548">
        <f t="shared" si="0"/>
        <v>2.7356721360412548E-2</v>
      </c>
      <c r="F45" s="252">
        <f t="shared" si="3"/>
        <v>-15.629359530192763</v>
      </c>
      <c r="G45" s="249" t="s">
        <v>554</v>
      </c>
      <c r="H45" s="249"/>
      <c r="I45" s="894">
        <f>(S7*B45)/79.76</f>
        <v>2.8209628886659979</v>
      </c>
      <c r="J45" s="82"/>
      <c r="K45" s="83"/>
      <c r="L45" s="3"/>
      <c r="M45" s="3"/>
      <c r="N45" s="3"/>
      <c r="O45" s="3"/>
      <c r="P45" s="3"/>
      <c r="Q45" s="553"/>
      <c r="R45" s="3"/>
      <c r="S45" s="3"/>
      <c r="T45" s="3"/>
      <c r="U45" s="39"/>
    </row>
    <row r="46" spans="1:21" x14ac:dyDescent="0.15">
      <c r="A46" s="529"/>
      <c r="B46" s="548">
        <v>310</v>
      </c>
      <c r="C46" s="548">
        <f t="shared" si="1"/>
        <v>6.1063901023253407E-6</v>
      </c>
      <c r="D46" s="548">
        <f t="shared" si="2"/>
        <v>6.1063901023253404</v>
      </c>
      <c r="E46" s="548">
        <f t="shared" si="0"/>
        <v>2.0046097505675452E-2</v>
      </c>
      <c r="F46" s="252">
        <f t="shared" si="3"/>
        <v>-16.979701615331578</v>
      </c>
      <c r="G46" s="249" t="s">
        <v>554</v>
      </c>
      <c r="H46" s="249"/>
      <c r="I46" s="894">
        <f>(S7*B46)/79.76</f>
        <v>2.9149949849548644</v>
      </c>
      <c r="J46" s="82"/>
      <c r="K46" s="83"/>
      <c r="L46" s="3"/>
      <c r="M46" s="3"/>
      <c r="N46" s="3"/>
      <c r="O46" s="3"/>
      <c r="P46" s="3"/>
      <c r="Q46" s="553"/>
      <c r="R46" s="3"/>
      <c r="S46" s="3"/>
      <c r="T46" s="3"/>
      <c r="U46" s="39"/>
    </row>
    <row r="47" spans="1:21" x14ac:dyDescent="0.15">
      <c r="A47" s="529"/>
      <c r="B47" s="548">
        <v>320</v>
      </c>
      <c r="C47" s="548">
        <f t="shared" si="1"/>
        <v>4.0349210074856952E-6</v>
      </c>
      <c r="D47" s="548">
        <f t="shared" si="2"/>
        <v>4.0349210074856954</v>
      </c>
      <c r="E47" s="548">
        <f t="shared" si="0"/>
        <v>1.3245865165567351E-2</v>
      </c>
      <c r="F47" s="252">
        <f t="shared" si="3"/>
        <v>-18.779196701065931</v>
      </c>
      <c r="G47" s="249" t="s">
        <v>554</v>
      </c>
      <c r="H47" s="249"/>
      <c r="I47" s="894">
        <f>(S7*B47)/79.76</f>
        <v>3.009027081243731</v>
      </c>
      <c r="J47" s="82"/>
      <c r="K47" s="83"/>
      <c r="L47" s="3"/>
      <c r="M47" s="3"/>
      <c r="N47" s="3"/>
      <c r="O47" s="3"/>
      <c r="P47" s="3"/>
      <c r="Q47" s="553"/>
      <c r="R47" s="3"/>
      <c r="S47" s="3"/>
      <c r="T47" s="3"/>
      <c r="U47" s="39"/>
    </row>
    <row r="48" spans="1:21" x14ac:dyDescent="0.15">
      <c r="A48" s="529"/>
      <c r="B48" s="548">
        <v>330</v>
      </c>
      <c r="C48" s="548">
        <f t="shared" si="1"/>
        <v>2.2956841138659359E-6</v>
      </c>
      <c r="D48" s="548">
        <f t="shared" si="2"/>
        <v>2.2956841138659358</v>
      </c>
      <c r="E48" s="548">
        <f t="shared" si="0"/>
        <v>7.5362868761467208E-3</v>
      </c>
      <c r="F48" s="252">
        <f t="shared" si="3"/>
        <v>-21.228425780553884</v>
      </c>
      <c r="G48" s="249" t="s">
        <v>554</v>
      </c>
      <c r="H48" s="249" t="s">
        <v>512</v>
      </c>
      <c r="I48" s="894">
        <f>(S7*B48)/79.76</f>
        <v>3.1030591775325975</v>
      </c>
      <c r="J48" s="82"/>
      <c r="K48" s="83"/>
      <c r="L48" s="3"/>
      <c r="M48" s="3"/>
      <c r="N48" s="3"/>
      <c r="O48" s="3"/>
      <c r="P48" s="3"/>
      <c r="Q48" s="553"/>
      <c r="R48" s="3"/>
      <c r="S48" s="3"/>
      <c r="T48" s="3"/>
      <c r="U48" s="39"/>
    </row>
    <row r="49" spans="1:21" x14ac:dyDescent="0.15">
      <c r="A49" s="529"/>
      <c r="B49" s="548">
        <v>340</v>
      </c>
      <c r="C49" s="548">
        <f t="shared" si="1"/>
        <v>1.0119184986203364E-6</v>
      </c>
      <c r="D49" s="548">
        <f t="shared" si="2"/>
        <v>1.0119184986203364</v>
      </c>
      <c r="E49" s="548">
        <f t="shared" si="0"/>
        <v>3.3219326887444266E-3</v>
      </c>
      <c r="F49" s="252">
        <f t="shared" si="3"/>
        <v>-24.786091717651274</v>
      </c>
      <c r="G49" s="249" t="s">
        <v>554</v>
      </c>
      <c r="H49" s="249"/>
      <c r="I49" s="894">
        <f>(S7*B49)/79.76</f>
        <v>3.1970912738214641</v>
      </c>
      <c r="J49" s="82"/>
      <c r="K49" s="83"/>
      <c r="L49" s="3"/>
      <c r="M49" s="3"/>
      <c r="N49" s="3"/>
      <c r="O49" s="3"/>
      <c r="P49" s="3"/>
      <c r="Q49" s="553"/>
      <c r="R49" s="3"/>
      <c r="S49" s="3"/>
      <c r="T49" s="3"/>
      <c r="U49" s="39"/>
    </row>
    <row r="50" spans="1:21" x14ac:dyDescent="0.15">
      <c r="A50" s="529"/>
      <c r="B50" s="548">
        <v>350</v>
      </c>
      <c r="C50" s="548">
        <f t="shared" si="1"/>
        <v>2.4615256822078222E-7</v>
      </c>
      <c r="D50" s="548">
        <f t="shared" si="2"/>
        <v>0.24615256822078221</v>
      </c>
      <c r="E50" s="548">
        <f t="shared" si="0"/>
        <v>8.0807126651590564E-4</v>
      </c>
      <c r="F50" s="252">
        <f t="shared" si="3"/>
        <v>-30.925503356490015</v>
      </c>
      <c r="G50" s="249" t="s">
        <v>554</v>
      </c>
      <c r="H50" s="249"/>
      <c r="I50" s="894">
        <f>(S7*B50)/79.76</f>
        <v>3.2911233701103306</v>
      </c>
      <c r="J50" s="82"/>
      <c r="K50" s="83"/>
      <c r="L50" s="3"/>
      <c r="M50" s="3"/>
      <c r="N50" s="3"/>
      <c r="O50" s="3"/>
      <c r="P50" s="3"/>
      <c r="Q50" s="553"/>
      <c r="R50" s="3"/>
      <c r="S50" s="230"/>
      <c r="T50" s="3"/>
      <c r="U50" s="39"/>
    </row>
    <row r="51" spans="1:21" x14ac:dyDescent="0.15">
      <c r="A51" s="529"/>
      <c r="B51" s="548">
        <v>360</v>
      </c>
      <c r="C51" s="548">
        <f t="shared" si="1"/>
        <v>4.6288882180921528E-37</v>
      </c>
      <c r="D51" s="548">
        <f t="shared" si="2"/>
        <v>4.6288882180921531E-31</v>
      </c>
      <c r="E51" s="548">
        <f t="shared" si="0"/>
        <v>1.5195744622901231E-33</v>
      </c>
      <c r="F51" s="256">
        <f t="shared" si="3"/>
        <v>-328.18278013735159</v>
      </c>
      <c r="G51" s="249" t="s">
        <v>554</v>
      </c>
      <c r="H51" s="249"/>
      <c r="I51" s="895">
        <f>(S7*B51)/79.76</f>
        <v>3.3851554663991972</v>
      </c>
      <c r="J51" s="258" t="s">
        <v>772</v>
      </c>
      <c r="K51" s="83"/>
      <c r="L51" s="3"/>
      <c r="M51" s="3"/>
      <c r="N51" s="3"/>
      <c r="O51" s="3"/>
      <c r="P51" s="3"/>
      <c r="Q51" s="553"/>
      <c r="R51" s="3"/>
      <c r="S51" s="3"/>
      <c r="T51" s="3"/>
      <c r="U51" s="39"/>
    </row>
    <row r="52" spans="1:21" x14ac:dyDescent="0.15">
      <c r="A52" s="529"/>
      <c r="B52" s="548">
        <v>370</v>
      </c>
      <c r="C52" s="548">
        <f t="shared" si="1"/>
        <v>2.2026069837140728E-7</v>
      </c>
      <c r="D52" s="548">
        <f t="shared" si="2"/>
        <v>0.22026069837140727</v>
      </c>
      <c r="E52" s="548">
        <f t="shared" si="0"/>
        <v>7.230732662395756E-4</v>
      </c>
      <c r="F52" s="252">
        <f t="shared" si="3"/>
        <v>-31.408176950824426</v>
      </c>
      <c r="G52" s="249" t="s">
        <v>554</v>
      </c>
      <c r="H52" s="249"/>
      <c r="I52" s="894">
        <f>(S7*B52)/79.76</f>
        <v>3.4791875626880642</v>
      </c>
      <c r="J52" s="82"/>
      <c r="K52" s="83"/>
      <c r="L52" s="3"/>
      <c r="M52" s="3"/>
      <c r="N52" s="3"/>
      <c r="O52" s="3"/>
      <c r="P52" s="3"/>
      <c r="Q52" s="553"/>
      <c r="R52" s="3"/>
      <c r="S52" s="3"/>
      <c r="T52" s="3"/>
      <c r="U52" s="39"/>
    </row>
    <row r="53" spans="1:21" x14ac:dyDescent="0.15">
      <c r="A53" s="529"/>
      <c r="B53" s="548">
        <v>380</v>
      </c>
      <c r="C53" s="548">
        <f t="shared" si="1"/>
        <v>8.1009541856309637E-7</v>
      </c>
      <c r="D53" s="548">
        <f t="shared" si="2"/>
        <v>0.81009541856309641</v>
      </c>
      <c r="E53" s="548">
        <f t="shared" si="0"/>
        <v>2.6593865569172885E-3</v>
      </c>
      <c r="F53" s="252">
        <f t="shared" si="3"/>
        <v>-25.752185309142369</v>
      </c>
      <c r="G53" s="249" t="s">
        <v>554</v>
      </c>
      <c r="H53" s="249"/>
      <c r="I53" s="894">
        <f>(S7*B53)/79.76</f>
        <v>3.5732196589769307</v>
      </c>
      <c r="J53" s="82"/>
      <c r="K53" s="83"/>
      <c r="L53" s="3"/>
      <c r="M53" s="3"/>
      <c r="N53" s="3"/>
      <c r="O53" s="3"/>
      <c r="P53" s="3"/>
      <c r="Q53" s="553"/>
      <c r="R53" s="3"/>
      <c r="S53" s="3"/>
      <c r="T53" s="3"/>
      <c r="U53" s="39"/>
    </row>
    <row r="54" spans="1:21" x14ac:dyDescent="0.15">
      <c r="A54" s="529"/>
      <c r="B54" s="548">
        <v>390</v>
      </c>
      <c r="C54" s="548">
        <f t="shared" si="1"/>
        <v>1.643655489809336E-6</v>
      </c>
      <c r="D54" s="548">
        <f t="shared" si="2"/>
        <v>1.6436554898093361</v>
      </c>
      <c r="E54" s="548">
        <f t="shared" si="0"/>
        <v>5.39580302966717E-3</v>
      </c>
      <c r="F54" s="252">
        <f t="shared" si="3"/>
        <v>-22.679439123526123</v>
      </c>
      <c r="G54" s="249" t="s">
        <v>554</v>
      </c>
      <c r="H54" s="249"/>
      <c r="I54" s="894">
        <f>(S7*B54)/79.76</f>
        <v>3.6672517552657973</v>
      </c>
      <c r="J54" s="82"/>
      <c r="K54" s="83"/>
      <c r="L54" s="3"/>
      <c r="M54" s="3"/>
      <c r="N54" s="3"/>
      <c r="O54" s="3"/>
      <c r="P54" s="3"/>
      <c r="Q54" s="553"/>
      <c r="R54" s="3"/>
      <c r="S54" s="3"/>
      <c r="T54" s="3"/>
      <c r="U54" s="39"/>
    </row>
    <row r="55" spans="1:21" x14ac:dyDescent="0.15">
      <c r="A55" s="529"/>
      <c r="B55" s="548">
        <v>400</v>
      </c>
      <c r="C55" s="548">
        <f t="shared" si="1"/>
        <v>2.5823494447908421E-6</v>
      </c>
      <c r="D55" s="548">
        <f t="shared" si="2"/>
        <v>2.5823494447908422</v>
      </c>
      <c r="E55" s="548">
        <f t="shared" si="0"/>
        <v>8.4773537059630952E-3</v>
      </c>
      <c r="F55" s="252">
        <f t="shared" si="3"/>
        <v>-20.717396961227067</v>
      </c>
      <c r="G55" s="249" t="s">
        <v>554</v>
      </c>
      <c r="H55" s="249"/>
      <c r="I55" s="894">
        <f>(S7*B55)/79.76</f>
        <v>3.7612838515546638</v>
      </c>
      <c r="J55" s="82"/>
      <c r="K55" s="83"/>
      <c r="L55" s="3"/>
      <c r="M55" s="3"/>
      <c r="N55" s="3"/>
      <c r="O55" s="3"/>
      <c r="P55" s="3"/>
      <c r="Q55" s="553"/>
      <c r="R55" s="3"/>
      <c r="S55" s="3"/>
      <c r="T55" s="3"/>
      <c r="U55" s="39"/>
    </row>
    <row r="56" spans="1:21" x14ac:dyDescent="0.15">
      <c r="A56" s="529"/>
      <c r="B56" s="548">
        <v>410</v>
      </c>
      <c r="C56" s="548">
        <f t="shared" si="1"/>
        <v>3.4909225986523783E-6</v>
      </c>
      <c r="D56" s="548">
        <f t="shared" si="2"/>
        <v>3.4909225986523782</v>
      </c>
      <c r="E56" s="548">
        <f t="shared" si="0"/>
        <v>1.1460023618652048E-2</v>
      </c>
      <c r="F56" s="252">
        <f t="shared" si="3"/>
        <v>-19.40814487304084</v>
      </c>
      <c r="G56" s="249" t="s">
        <v>554</v>
      </c>
      <c r="H56" s="249"/>
      <c r="I56" s="894">
        <f>(S7*B56)/79.76</f>
        <v>3.8553159478435304</v>
      </c>
      <c r="J56" s="82"/>
      <c r="K56" s="83"/>
      <c r="L56" s="3"/>
      <c r="M56" s="3"/>
      <c r="N56" s="3"/>
      <c r="O56" s="3"/>
      <c r="P56" s="3"/>
      <c r="Q56" s="553"/>
      <c r="R56" s="3"/>
      <c r="S56" s="3"/>
      <c r="T56" s="3"/>
      <c r="U56" s="39"/>
    </row>
    <row r="57" spans="1:21" x14ac:dyDescent="0.15">
      <c r="A57" s="529"/>
      <c r="B57" s="548">
        <v>420</v>
      </c>
      <c r="C57" s="548">
        <f t="shared" si="1"/>
        <v>4.2517006802721104E-6</v>
      </c>
      <c r="D57" s="548">
        <f t="shared" si="2"/>
        <v>4.2517006802721102</v>
      </c>
      <c r="E57" s="548">
        <f t="shared" si="0"/>
        <v>1.3957510898169673E-2</v>
      </c>
      <c r="F57" s="252">
        <f t="shared" si="3"/>
        <v>-18.551920243757522</v>
      </c>
      <c r="G57" s="249" t="s">
        <v>554</v>
      </c>
      <c r="H57" s="249"/>
      <c r="I57" s="894">
        <f>(S7*B57)/79.76</f>
        <v>3.9493480441323969</v>
      </c>
      <c r="J57" s="82"/>
      <c r="K57" s="83"/>
      <c r="L57" s="3"/>
      <c r="M57" s="3"/>
      <c r="N57" s="3"/>
      <c r="O57" s="3"/>
      <c r="P57" s="3"/>
      <c r="Q57" s="553"/>
      <c r="R57" s="3"/>
      <c r="S57" s="3"/>
      <c r="T57" s="3"/>
      <c r="U57" s="39"/>
    </row>
    <row r="58" spans="1:21" x14ac:dyDescent="0.15">
      <c r="A58" s="529"/>
      <c r="B58" s="548">
        <v>430</v>
      </c>
      <c r="C58" s="548">
        <f t="shared" si="1"/>
        <v>4.7756745352054575E-6</v>
      </c>
      <c r="D58" s="548">
        <f t="shared" si="2"/>
        <v>4.7756745352054573</v>
      </c>
      <c r="E58" s="548">
        <f t="shared" si="0"/>
        <v>1.5677615708116009E-2</v>
      </c>
      <c r="F58" s="252">
        <f t="shared" si="3"/>
        <v>-18.047199852449516</v>
      </c>
      <c r="G58" s="249" t="s">
        <v>554</v>
      </c>
      <c r="H58" s="249"/>
      <c r="I58" s="894">
        <f>(S7*B58)/79.76</f>
        <v>4.0433801404212639</v>
      </c>
      <c r="J58" s="82"/>
      <c r="K58" s="83"/>
      <c r="L58" s="3"/>
      <c r="M58" s="3"/>
      <c r="N58" s="3"/>
      <c r="O58" s="3"/>
      <c r="P58" s="3"/>
      <c r="Q58" s="553"/>
      <c r="R58" s="3"/>
      <c r="S58" s="230"/>
      <c r="T58" s="3"/>
      <c r="U58" s="39"/>
    </row>
    <row r="59" spans="1:21" x14ac:dyDescent="0.15">
      <c r="A59" s="529"/>
      <c r="B59" s="548">
        <v>440</v>
      </c>
      <c r="C59" s="548">
        <f t="shared" si="1"/>
        <v>5.0095367272363332E-6</v>
      </c>
      <c r="D59" s="548">
        <f t="shared" si="2"/>
        <v>5.0095367272363331</v>
      </c>
      <c r="E59" s="548">
        <f t="shared" si="0"/>
        <v>1.6445340047010884E-2</v>
      </c>
      <c r="F59" s="257">
        <f t="shared" si="3"/>
        <v>-17.839571420041555</v>
      </c>
      <c r="G59" s="249" t="s">
        <v>554</v>
      </c>
      <c r="H59" s="249"/>
      <c r="I59" s="896">
        <f>(S7*B59)/79.76</f>
        <v>4.13741223671013</v>
      </c>
      <c r="J59" s="258" t="s">
        <v>773</v>
      </c>
      <c r="K59" s="259"/>
      <c r="L59" s="3"/>
      <c r="M59" s="3"/>
      <c r="N59" s="3"/>
      <c r="O59" s="3"/>
      <c r="P59" s="3"/>
      <c r="Q59" s="553"/>
      <c r="R59" s="3"/>
      <c r="S59" s="3"/>
      <c r="T59" s="3"/>
      <c r="U59" s="39"/>
    </row>
    <row r="60" spans="1:21" x14ac:dyDescent="0.15">
      <c r="A60" s="529"/>
      <c r="B60" s="548">
        <v>450</v>
      </c>
      <c r="C60" s="548">
        <f t="shared" si="1"/>
        <v>4.9382716049382717E-6</v>
      </c>
      <c r="D60" s="548">
        <f t="shared" si="2"/>
        <v>4.9382716049382713</v>
      </c>
      <c r="E60" s="548">
        <f t="shared" si="0"/>
        <v>1.6211390435800031E-2</v>
      </c>
      <c r="F60" s="252">
        <f t="shared" si="3"/>
        <v>-17.90179734522339</v>
      </c>
      <c r="G60" s="249" t="s">
        <v>554</v>
      </c>
      <c r="H60" s="249"/>
      <c r="I60" s="894">
        <f>(S7*B60)/79.76</f>
        <v>4.231444332998997</v>
      </c>
      <c r="J60" s="82"/>
      <c r="K60" s="83"/>
      <c r="L60" s="3"/>
      <c r="M60" s="3"/>
      <c r="N60" s="3"/>
      <c r="O60" s="3"/>
      <c r="P60" s="3"/>
      <c r="Q60" s="553"/>
      <c r="R60" s="3"/>
      <c r="S60" s="3"/>
      <c r="T60" s="3"/>
      <c r="U60" s="39"/>
    </row>
    <row r="61" spans="1:21" x14ac:dyDescent="0.15">
      <c r="A61" s="529"/>
      <c r="B61" s="548">
        <v>460</v>
      </c>
      <c r="C61" s="548">
        <f t="shared" si="1"/>
        <v>4.5833946615924115E-6</v>
      </c>
      <c r="D61" s="548">
        <f t="shared" si="2"/>
        <v>4.5833946615924113</v>
      </c>
      <c r="E61" s="548">
        <f t="shared" si="0"/>
        <v>1.5046398077038316E-2</v>
      </c>
      <c r="F61" s="252">
        <f t="shared" si="3"/>
        <v>-18.225674523949287</v>
      </c>
      <c r="G61" s="249" t="s">
        <v>554</v>
      </c>
      <c r="H61" s="249"/>
      <c r="I61" s="894">
        <f>(S7*B61)/79.76</f>
        <v>4.3254764292878631</v>
      </c>
      <c r="J61" s="82"/>
      <c r="K61" s="83"/>
      <c r="L61" s="3"/>
      <c r="M61" s="3"/>
      <c r="N61" s="3"/>
      <c r="O61" s="3"/>
      <c r="P61" s="3"/>
      <c r="Q61" s="553"/>
      <c r="R61" s="3"/>
      <c r="S61" s="3"/>
      <c r="T61" s="3"/>
      <c r="U61" s="39"/>
    </row>
    <row r="62" spans="1:21" x14ac:dyDescent="0.15">
      <c r="A62" s="529"/>
      <c r="B62" s="548">
        <v>470</v>
      </c>
      <c r="C62" s="548">
        <f t="shared" si="1"/>
        <v>3.9973844344023967E-6</v>
      </c>
      <c r="D62" s="548">
        <f t="shared" si="2"/>
        <v>3.9973844344023965</v>
      </c>
      <c r="E62" s="548">
        <f t="shared" si="0"/>
        <v>1.3122639857087602E-2</v>
      </c>
      <c r="F62" s="252">
        <f t="shared" si="3"/>
        <v>-18.819787899572134</v>
      </c>
      <c r="G62" s="249" t="s">
        <v>554</v>
      </c>
      <c r="H62" s="249"/>
      <c r="I62" s="894">
        <f>(S7*B62)/79.76</f>
        <v>4.4195085255767301</v>
      </c>
      <c r="J62" s="82"/>
      <c r="K62" s="83"/>
      <c r="L62" s="3"/>
      <c r="M62" s="3"/>
      <c r="N62" s="3"/>
      <c r="O62" s="3"/>
      <c r="P62" s="3"/>
      <c r="Q62" s="553"/>
      <c r="R62" s="3"/>
      <c r="S62" s="3"/>
      <c r="T62" s="3"/>
      <c r="U62" s="39"/>
    </row>
    <row r="63" spans="1:21" x14ac:dyDescent="0.15">
      <c r="A63" s="529"/>
      <c r="B63" s="548">
        <v>480</v>
      </c>
      <c r="C63" s="548">
        <f t="shared" si="1"/>
        <v>3.2552083333333374E-6</v>
      </c>
      <c r="D63" s="548">
        <f t="shared" si="2"/>
        <v>3.2552083333333375</v>
      </c>
      <c r="E63" s="548">
        <f t="shared" si="0"/>
        <v>1.0686219281411165E-2</v>
      </c>
      <c r="F63" s="252">
        <f t="shared" si="3"/>
        <v>-19.711759183311251</v>
      </c>
      <c r="G63" s="249" t="s">
        <v>554</v>
      </c>
      <c r="H63" s="249"/>
      <c r="I63" s="894">
        <f>(S7*B63)/79.76</f>
        <v>4.5135406218655962</v>
      </c>
      <c r="J63" s="82"/>
      <c r="K63" s="83"/>
      <c r="L63" s="3"/>
      <c r="M63" s="3"/>
      <c r="N63" s="3"/>
      <c r="O63" s="3"/>
      <c r="P63" s="3"/>
      <c r="Q63" s="553"/>
      <c r="R63" s="3"/>
      <c r="S63" s="3"/>
      <c r="T63" s="3"/>
      <c r="U63" s="39"/>
    </row>
    <row r="64" spans="1:21" x14ac:dyDescent="0.15">
      <c r="A64" s="529"/>
      <c r="B64" s="548">
        <v>490</v>
      </c>
      <c r="C64" s="548">
        <f t="shared" si="1"/>
        <v>2.4440820026383361E-6</v>
      </c>
      <c r="D64" s="548">
        <f t="shared" si="2"/>
        <v>2.4440820026383361</v>
      </c>
      <c r="E64" s="548">
        <f t="shared" si="0"/>
        <v>8.023448439381126E-3</v>
      </c>
      <c r="F64" s="252">
        <f t="shared" si="3"/>
        <v>-20.956389339216408</v>
      </c>
      <c r="G64" s="249" t="s">
        <v>554</v>
      </c>
      <c r="H64" s="249"/>
      <c r="I64" s="894">
        <f>(S7*B64)/79.76</f>
        <v>4.6075727181544632</v>
      </c>
      <c r="J64" s="82"/>
      <c r="K64" s="83"/>
      <c r="L64" s="3"/>
      <c r="M64" s="3"/>
      <c r="N64" s="3"/>
      <c r="O64" s="3"/>
      <c r="P64" s="3"/>
      <c r="Q64" s="553"/>
      <c r="R64" s="3"/>
      <c r="S64" s="3"/>
      <c r="T64" s="3"/>
      <c r="U64" s="39"/>
    </row>
    <row r="65" spans="1:21" x14ac:dyDescent="0.15">
      <c r="A65" s="529"/>
      <c r="B65" s="548">
        <v>500</v>
      </c>
      <c r="C65" s="548">
        <f t="shared" si="1"/>
        <v>1.6527036446661378E-6</v>
      </c>
      <c r="D65" s="548">
        <f t="shared" si="2"/>
        <v>1.6527036446661378</v>
      </c>
      <c r="E65" s="548">
        <f t="shared" si="0"/>
        <v>5.4255063718163764E-3</v>
      </c>
      <c r="F65" s="252">
        <f t="shared" si="3"/>
        <v>-22.655597221388199</v>
      </c>
      <c r="G65" s="249" t="s">
        <v>554</v>
      </c>
      <c r="H65" s="249"/>
      <c r="I65" s="894">
        <f>(S7*B65)/79.76</f>
        <v>4.7016048144433293</v>
      </c>
      <c r="J65" s="82"/>
      <c r="K65" s="83"/>
      <c r="L65" s="3"/>
      <c r="M65" s="3"/>
      <c r="N65" s="3"/>
      <c r="O65" s="3"/>
      <c r="P65" s="3"/>
      <c r="Q65" s="553"/>
      <c r="R65" s="3"/>
      <c r="S65" s="3"/>
      <c r="T65" s="3"/>
      <c r="U65" s="39"/>
    </row>
    <row r="66" spans="1:21" x14ac:dyDescent="0.15">
      <c r="A66" s="529"/>
      <c r="B66" s="548">
        <v>510</v>
      </c>
      <c r="C66" s="548">
        <f t="shared" si="1"/>
        <v>9.6116878123798444E-7</v>
      </c>
      <c r="D66" s="548">
        <f t="shared" si="2"/>
        <v>0.96116878123798444</v>
      </c>
      <c r="E66" s="548">
        <f t="shared" si="0"/>
        <v>3.1553311834385841E-3</v>
      </c>
      <c r="F66" s="252">
        <f t="shared" si="3"/>
        <v>-25.009550504954873</v>
      </c>
      <c r="G66" s="249" t="s">
        <v>554</v>
      </c>
      <c r="H66" s="249"/>
      <c r="I66" s="894">
        <f>(S7*B66)/79.76</f>
        <v>4.7956369107321963</v>
      </c>
      <c r="J66" s="82"/>
      <c r="K66" s="83"/>
      <c r="L66" s="3"/>
      <c r="M66" s="3"/>
      <c r="N66" s="3"/>
      <c r="O66" s="3"/>
      <c r="P66" s="3"/>
      <c r="Q66" s="553"/>
      <c r="R66" s="3"/>
      <c r="S66" s="3"/>
      <c r="T66" s="3"/>
      <c r="U66" s="39"/>
    </row>
    <row r="67" spans="1:21" x14ac:dyDescent="0.15">
      <c r="A67" s="529"/>
      <c r="B67" s="548">
        <v>520</v>
      </c>
      <c r="C67" s="548">
        <f t="shared" si="1"/>
        <v>4.3261012736875356E-7</v>
      </c>
      <c r="D67" s="548">
        <f t="shared" si="2"/>
        <v>0.43261012736875354</v>
      </c>
      <c r="E67" s="548">
        <f t="shared" si="0"/>
        <v>1.4201753654543489E-3</v>
      </c>
      <c r="F67" s="252">
        <f t="shared" si="3"/>
        <v>-28.476580249502152</v>
      </c>
      <c r="G67" s="249" t="s">
        <v>554</v>
      </c>
      <c r="H67" s="249"/>
      <c r="I67" s="894">
        <f>(S7*B67)/79.76</f>
        <v>4.8896690070210624</v>
      </c>
      <c r="J67" s="82"/>
      <c r="K67" s="83"/>
      <c r="L67" s="3"/>
      <c r="M67" s="3"/>
      <c r="N67" s="3"/>
      <c r="O67" s="3"/>
      <c r="P67" s="3"/>
      <c r="Q67" s="553"/>
      <c r="R67" s="3"/>
      <c r="S67" s="3"/>
      <c r="T67" s="3"/>
      <c r="U67" s="39"/>
    </row>
    <row r="68" spans="1:21" x14ac:dyDescent="0.15">
      <c r="A68" s="529"/>
      <c r="B68" s="548">
        <v>530</v>
      </c>
      <c r="C68" s="548">
        <f t="shared" si="1"/>
        <v>1.0734670561426081E-7</v>
      </c>
      <c r="D68" s="548">
        <f t="shared" si="2"/>
        <v>0.10734670561426081</v>
      </c>
      <c r="E68" s="548">
        <f t="shared" si="0"/>
        <v>3.5239846973370801E-4</v>
      </c>
      <c r="F68" s="252">
        <f t="shared" si="3"/>
        <v>-34.529659861500278</v>
      </c>
      <c r="G68" s="249" t="s">
        <v>554</v>
      </c>
      <c r="H68" s="249"/>
      <c r="I68" s="894">
        <f>(S7*B68)/79.76</f>
        <v>4.9837011033099294</v>
      </c>
      <c r="J68" s="82"/>
      <c r="K68" s="83"/>
      <c r="L68" s="3"/>
      <c r="M68" s="3"/>
      <c r="N68" s="3"/>
      <c r="O68" s="3"/>
      <c r="P68" s="3"/>
      <c r="Q68" s="553"/>
      <c r="R68" s="3"/>
      <c r="S68" s="230"/>
      <c r="T68" s="3"/>
      <c r="U68" s="39"/>
    </row>
    <row r="69" spans="1:21" x14ac:dyDescent="0.15">
      <c r="A69" s="529"/>
      <c r="B69" s="548">
        <v>540</v>
      </c>
      <c r="C69" s="548">
        <f t="shared" si="1"/>
        <v>4.628888218092152E-37</v>
      </c>
      <c r="D69" s="548">
        <f t="shared" si="2"/>
        <v>4.6288882180921522E-31</v>
      </c>
      <c r="E69" s="548">
        <f t="shared" si="0"/>
        <v>1.5195744622901229E-33</v>
      </c>
      <c r="F69" s="256">
        <f t="shared" si="3"/>
        <v>-328.18278013735159</v>
      </c>
      <c r="G69" s="249" t="s">
        <v>554</v>
      </c>
      <c r="H69" s="249"/>
      <c r="I69" s="895">
        <f>(S7*B69)/79.76</f>
        <v>5.0777331995987964</v>
      </c>
      <c r="J69" s="258" t="s">
        <v>774</v>
      </c>
      <c r="K69" s="83"/>
      <c r="L69" s="3"/>
      <c r="M69" s="3"/>
      <c r="N69" s="3"/>
      <c r="O69" s="3"/>
      <c r="P69" s="3"/>
      <c r="Q69" s="553"/>
      <c r="R69" s="3"/>
      <c r="S69" s="3"/>
      <c r="T69" s="3"/>
      <c r="U69" s="39"/>
    </row>
    <row r="70" spans="1:21" x14ac:dyDescent="0.15">
      <c r="A70" s="529"/>
      <c r="B70" s="548">
        <v>550</v>
      </c>
      <c r="C70" s="548">
        <f t="shared" si="1"/>
        <v>9.9681618535687958E-8</v>
      </c>
      <c r="D70" s="548">
        <f t="shared" si="2"/>
        <v>9.9681618535687952E-2</v>
      </c>
      <c r="E70" s="548">
        <f t="shared" si="0"/>
        <v>3.2723547156429005E-4</v>
      </c>
      <c r="F70" s="252">
        <f t="shared" si="3"/>
        <v>-34.851396259369409</v>
      </c>
      <c r="G70" s="249" t="s">
        <v>554</v>
      </c>
      <c r="H70" s="249"/>
      <c r="I70" s="894">
        <f>(S7*B70)/79.76</f>
        <v>5.1717652958876625</v>
      </c>
      <c r="J70" s="82"/>
      <c r="K70" s="83"/>
      <c r="L70" s="3"/>
      <c r="M70" s="3"/>
      <c r="N70" s="3"/>
      <c r="O70" s="3"/>
      <c r="P70" s="3"/>
      <c r="Q70" s="553"/>
      <c r="R70" s="3"/>
      <c r="S70" s="3"/>
      <c r="T70" s="3"/>
      <c r="U70" s="39"/>
    </row>
    <row r="71" spans="1:21" x14ac:dyDescent="0.15">
      <c r="A71" s="529"/>
      <c r="B71" s="548">
        <v>560</v>
      </c>
      <c r="C71" s="548">
        <f t="shared" si="1"/>
        <v>3.7301587512917883E-7</v>
      </c>
      <c r="D71" s="548">
        <f t="shared" si="2"/>
        <v>0.37301587512917883</v>
      </c>
      <c r="E71" s="548">
        <f t="shared" si="0"/>
        <v>1.2245389630703265E-3</v>
      </c>
      <c r="F71" s="252">
        <f t="shared" si="3"/>
        <v>-29.120273916930199</v>
      </c>
      <c r="G71" s="249" t="s">
        <v>554</v>
      </c>
      <c r="H71" s="249"/>
      <c r="I71" s="894">
        <f>(S7*B71)/79.76</f>
        <v>5.2657973921765295</v>
      </c>
      <c r="J71" s="82"/>
      <c r="K71" s="83"/>
      <c r="L71" s="3"/>
      <c r="M71" s="3"/>
      <c r="N71" s="3"/>
      <c r="O71" s="3"/>
      <c r="P71" s="3"/>
      <c r="Q71" s="553"/>
      <c r="R71" s="3"/>
      <c r="S71" s="3"/>
      <c r="T71" s="3"/>
      <c r="U71" s="39"/>
    </row>
    <row r="72" spans="1:21" x14ac:dyDescent="0.15">
      <c r="A72" s="529"/>
      <c r="B72" s="548">
        <v>570</v>
      </c>
      <c r="C72" s="548">
        <f t="shared" si="1"/>
        <v>7.6946752847029604E-7</v>
      </c>
      <c r="D72" s="548">
        <f t="shared" si="2"/>
        <v>0.76946752847029609</v>
      </c>
      <c r="E72" s="548">
        <f t="shared" si="0"/>
        <v>2.5260130526696643E-3</v>
      </c>
      <c r="F72" s="252">
        <f t="shared" si="3"/>
        <v>-25.975644096445979</v>
      </c>
      <c r="G72" s="249" t="s">
        <v>554</v>
      </c>
      <c r="H72" s="249"/>
      <c r="I72" s="894">
        <f>(S7*B72)/79.76</f>
        <v>5.3598294884653956</v>
      </c>
      <c r="J72" s="82"/>
      <c r="K72" s="83"/>
      <c r="L72" s="3"/>
      <c r="M72" s="3"/>
      <c r="N72" s="3"/>
      <c r="O72" s="3"/>
      <c r="P72" s="3"/>
      <c r="Q72" s="553"/>
      <c r="R72" s="3"/>
      <c r="S72" s="3"/>
      <c r="T72" s="3"/>
      <c r="U72" s="39"/>
    </row>
    <row r="73" spans="1:21" x14ac:dyDescent="0.15">
      <c r="A73" s="529"/>
      <c r="B73" s="548">
        <v>580</v>
      </c>
      <c r="C73" s="548">
        <f t="shared" si="1"/>
        <v>1.2282280355723409E-6</v>
      </c>
      <c r="D73" s="548">
        <f t="shared" si="2"/>
        <v>1.2282280355723409</v>
      </c>
      <c r="E73" s="548">
        <f t="shared" si="0"/>
        <v>4.0320350563439284E-3</v>
      </c>
      <c r="F73" s="252">
        <f t="shared" si="3"/>
        <v>-23.944757005926558</v>
      </c>
      <c r="G73" s="249" t="s">
        <v>554</v>
      </c>
      <c r="H73" s="249"/>
      <c r="I73" s="894">
        <f>(S7*B73)/79.76</f>
        <v>5.4538615847542626</v>
      </c>
      <c r="J73" s="82"/>
      <c r="K73" s="83"/>
      <c r="L73" s="3"/>
      <c r="M73" s="3"/>
      <c r="N73" s="3"/>
      <c r="O73" s="3"/>
      <c r="P73" s="3"/>
      <c r="Q73" s="553"/>
      <c r="R73" s="3"/>
      <c r="S73" s="3"/>
      <c r="T73" s="3"/>
      <c r="U73" s="39"/>
    </row>
    <row r="74" spans="1:21" x14ac:dyDescent="0.15">
      <c r="A74" s="529"/>
      <c r="B74" s="548">
        <v>590</v>
      </c>
      <c r="C74" s="548">
        <f t="shared" si="1"/>
        <v>1.6857916944368443E-6</v>
      </c>
      <c r="D74" s="548">
        <f t="shared" si="2"/>
        <v>1.6857916944368443</v>
      </c>
      <c r="E74" s="548">
        <f t="shared" si="0"/>
        <v>5.5341280387687783E-3</v>
      </c>
      <c r="F74" s="252">
        <f t="shared" si="3"/>
        <v>-22.56950797148901</v>
      </c>
      <c r="G74" s="249" t="s">
        <v>554</v>
      </c>
      <c r="H74" s="249"/>
      <c r="I74" s="894">
        <f>(S7*B74)/79.76</f>
        <v>5.5478936810431287</v>
      </c>
      <c r="J74" s="82"/>
      <c r="K74" s="83"/>
      <c r="L74" s="3"/>
      <c r="M74" s="3"/>
      <c r="N74" s="3"/>
      <c r="O74" s="3"/>
      <c r="P74" s="3"/>
      <c r="Q74" s="553"/>
      <c r="R74" s="3"/>
      <c r="S74" s="3"/>
      <c r="T74" s="3"/>
      <c r="U74" s="39"/>
    </row>
    <row r="75" spans="1:21" x14ac:dyDescent="0.15">
      <c r="A75" s="529"/>
      <c r="B75" s="548">
        <v>600</v>
      </c>
      <c r="C75" s="548">
        <f t="shared" si="1"/>
        <v>2.0833333333333334E-6</v>
      </c>
      <c r="D75" s="548">
        <f t="shared" si="2"/>
        <v>2.0833333333333335</v>
      </c>
      <c r="E75" s="548">
        <f t="shared" si="0"/>
        <v>6.8391803401031378E-3</v>
      </c>
      <c r="F75" s="252">
        <f t="shared" si="3"/>
        <v>-21.64995944347239</v>
      </c>
      <c r="G75" s="249" t="s">
        <v>554</v>
      </c>
      <c r="H75" s="249"/>
      <c r="I75" s="894">
        <f>(S7*B75)/79.76</f>
        <v>5.6419257773319957</v>
      </c>
      <c r="J75" s="82"/>
      <c r="K75" s="83"/>
      <c r="L75" s="3"/>
      <c r="M75" s="3"/>
      <c r="N75" s="3"/>
      <c r="O75" s="3"/>
      <c r="P75" s="3"/>
      <c r="Q75" s="553"/>
      <c r="R75" s="3"/>
      <c r="S75" s="3"/>
      <c r="T75" s="3"/>
      <c r="U75" s="39"/>
    </row>
    <row r="76" spans="1:21" x14ac:dyDescent="0.15">
      <c r="A76" s="529"/>
      <c r="B76" s="548">
        <v>610</v>
      </c>
      <c r="C76" s="548">
        <f t="shared" si="1"/>
        <v>2.3730777252337787E-6</v>
      </c>
      <c r="D76" s="548">
        <f t="shared" si="2"/>
        <v>2.3730777252337787</v>
      </c>
      <c r="E76" s="548">
        <f t="shared" ref="E76:E98" si="4">D76/304.6174</f>
        <v>7.7903551314986563E-3</v>
      </c>
      <c r="F76" s="252">
        <f t="shared" si="3"/>
        <v>-21.084427441073128</v>
      </c>
      <c r="G76" s="249" t="s">
        <v>554</v>
      </c>
      <c r="H76" s="249"/>
      <c r="I76" s="894">
        <f>(S7*B76)/79.76</f>
        <v>5.7359578736208618</v>
      </c>
      <c r="J76" s="82"/>
      <c r="K76" s="83"/>
      <c r="L76" s="3"/>
      <c r="M76" s="3"/>
      <c r="N76" s="3"/>
      <c r="O76" s="3"/>
      <c r="P76" s="3"/>
      <c r="Q76" s="553"/>
      <c r="R76" s="3"/>
      <c r="S76" s="230"/>
      <c r="T76" s="3"/>
      <c r="U76" s="39"/>
    </row>
    <row r="77" spans="1:21" x14ac:dyDescent="0.15">
      <c r="A77" s="529"/>
      <c r="B77" s="548">
        <v>620</v>
      </c>
      <c r="C77" s="548">
        <f t="shared" si="1"/>
        <v>2.5230132944665821E-6</v>
      </c>
      <c r="D77" s="548">
        <f t="shared" si="2"/>
        <v>2.523013294466582</v>
      </c>
      <c r="E77" s="548">
        <f t="shared" si="4"/>
        <v>8.2825646022406541E-3</v>
      </c>
      <c r="F77" s="257">
        <f t="shared" si="3"/>
        <v>-20.818351680282881</v>
      </c>
      <c r="G77" s="249" t="s">
        <v>554</v>
      </c>
      <c r="H77" s="249"/>
      <c r="I77" s="896">
        <f>(S7*B77)/79.76</f>
        <v>5.8299899699097288</v>
      </c>
      <c r="J77" s="258" t="s">
        <v>775</v>
      </c>
      <c r="K77" s="259"/>
      <c r="L77" s="3"/>
      <c r="M77" s="3"/>
      <c r="N77" s="3"/>
      <c r="O77" s="3"/>
      <c r="P77" s="3"/>
      <c r="Q77" s="553"/>
      <c r="R77" s="3"/>
      <c r="S77" s="3"/>
      <c r="T77" s="3"/>
      <c r="U77" s="39"/>
    </row>
    <row r="78" spans="1:21" x14ac:dyDescent="0.15">
      <c r="A78" s="529"/>
      <c r="B78" s="548">
        <v>630</v>
      </c>
      <c r="C78" s="548">
        <f t="shared" ref="C78:C98" si="5">((SIN(RADIANS(B78)))^2)/B78^2</f>
        <v>2.5195263290501387E-6</v>
      </c>
      <c r="D78" s="548">
        <f t="shared" ref="D78:D98" si="6">C78*1000000</f>
        <v>2.5195263290501386</v>
      </c>
      <c r="E78" s="548">
        <f t="shared" si="4"/>
        <v>8.2711175692857294E-3</v>
      </c>
      <c r="F78" s="252">
        <f t="shared" si="3"/>
        <v>-20.82435805878815</v>
      </c>
      <c r="G78" s="249" t="s">
        <v>554</v>
      </c>
      <c r="H78" s="249"/>
      <c r="I78" s="894">
        <f>(S7*B78)/79.76</f>
        <v>5.9240220661985958</v>
      </c>
      <c r="J78" s="82"/>
      <c r="K78" s="83"/>
      <c r="L78" s="3"/>
      <c r="M78" s="3"/>
      <c r="N78" s="3"/>
      <c r="O78" s="3"/>
      <c r="P78" s="3"/>
      <c r="Q78" s="553"/>
      <c r="R78" s="3"/>
      <c r="S78" s="3"/>
      <c r="T78" s="3"/>
      <c r="U78" s="39"/>
    </row>
    <row r="79" spans="1:21" x14ac:dyDescent="0.15">
      <c r="A79" s="529"/>
      <c r="B79" s="548">
        <v>640</v>
      </c>
      <c r="C79" s="548">
        <f t="shared" si="5"/>
        <v>2.3677888437327986E-6</v>
      </c>
      <c r="D79" s="548">
        <f t="shared" si="6"/>
        <v>2.3677888437327987</v>
      </c>
      <c r="E79" s="548">
        <f t="shared" si="4"/>
        <v>7.7729927565949909E-3</v>
      </c>
      <c r="F79" s="252">
        <f t="shared" ref="F79:F98" si="7">10*LOG10(E79)</f>
        <v>-21.094117369995548</v>
      </c>
      <c r="G79" s="249" t="s">
        <v>554</v>
      </c>
      <c r="H79" s="249"/>
      <c r="I79" s="894">
        <f>(S7*B79)/79.76</f>
        <v>6.0180541624874619</v>
      </c>
      <c r="J79" s="82"/>
      <c r="K79" s="83"/>
      <c r="L79" s="3"/>
      <c r="M79" s="3"/>
      <c r="N79" s="3"/>
      <c r="O79" s="3"/>
      <c r="P79" s="3"/>
      <c r="Q79" s="553"/>
      <c r="R79" s="3"/>
      <c r="S79" s="3"/>
      <c r="T79" s="3"/>
      <c r="U79" s="39"/>
    </row>
    <row r="80" spans="1:21" x14ac:dyDescent="0.15">
      <c r="A80" s="529"/>
      <c r="B80" s="548">
        <v>650</v>
      </c>
      <c r="C80" s="548">
        <f t="shared" si="5"/>
        <v>2.0899934238094428E-6</v>
      </c>
      <c r="D80" s="548">
        <f t="shared" si="6"/>
        <v>2.0899934238094429</v>
      </c>
      <c r="E80" s="548">
        <f t="shared" si="4"/>
        <v>6.8610441288299451E-3</v>
      </c>
      <c r="F80" s="252">
        <f t="shared" si="7"/>
        <v>-21.636097873714895</v>
      </c>
      <c r="G80" s="249" t="s">
        <v>554</v>
      </c>
      <c r="H80" s="249"/>
      <c r="I80" s="894">
        <f>(S7*B80)/79.76</f>
        <v>6.1120862587763289</v>
      </c>
      <c r="J80" s="82"/>
      <c r="K80" s="83"/>
      <c r="L80" s="3"/>
      <c r="M80" s="3"/>
      <c r="N80" s="3"/>
      <c r="O80" s="3"/>
      <c r="P80" s="3"/>
      <c r="Q80" s="553"/>
      <c r="R80" s="3"/>
      <c r="S80" s="3"/>
      <c r="T80" s="3"/>
      <c r="U80" s="39"/>
    </row>
    <row r="81" spans="1:21" x14ac:dyDescent="0.15">
      <c r="A81" s="529"/>
      <c r="B81" s="548">
        <v>670</v>
      </c>
      <c r="C81" s="548">
        <f t="shared" si="5"/>
        <v>1.3072490283659268E-6</v>
      </c>
      <c r="D81" s="548">
        <f t="shared" si="6"/>
        <v>1.3072490283659268</v>
      </c>
      <c r="E81" s="548">
        <f t="shared" si="4"/>
        <v>4.2914456901212046E-3</v>
      </c>
      <c r="F81" s="252">
        <f t="shared" si="7"/>
        <v>-23.673963792662658</v>
      </c>
      <c r="G81" s="249" t="s">
        <v>554</v>
      </c>
      <c r="H81" s="249"/>
      <c r="I81" s="894">
        <f>(S7*B81)/79.76</f>
        <v>6.300150451354062</v>
      </c>
      <c r="J81" s="82"/>
      <c r="K81" s="83"/>
      <c r="L81" s="3"/>
      <c r="M81" s="3"/>
      <c r="N81" s="3"/>
      <c r="O81" s="3"/>
      <c r="P81" s="3"/>
      <c r="Q81" s="553"/>
      <c r="R81" s="3"/>
      <c r="S81" s="3"/>
      <c r="T81" s="3"/>
      <c r="U81" s="39"/>
    </row>
    <row r="82" spans="1:21" x14ac:dyDescent="0.15">
      <c r="A82" s="529"/>
      <c r="B82" s="548">
        <v>680</v>
      </c>
      <c r="C82" s="548">
        <f t="shared" si="5"/>
        <v>8.9354652068887239E-7</v>
      </c>
      <c r="D82" s="548">
        <f t="shared" si="6"/>
        <v>0.89354652068887241</v>
      </c>
      <c r="E82" s="548">
        <f t="shared" si="4"/>
        <v>2.9333403826861909E-3</v>
      </c>
      <c r="F82" s="252">
        <f t="shared" si="7"/>
        <v>-25.326375388792549</v>
      </c>
      <c r="G82" s="249" t="s">
        <v>554</v>
      </c>
      <c r="H82" s="249"/>
      <c r="I82" s="894">
        <f>(S7*B82)/79.76</f>
        <v>6.3941825476429281</v>
      </c>
      <c r="J82" s="82"/>
      <c r="K82" s="83"/>
      <c r="L82" s="3"/>
      <c r="M82" s="3"/>
      <c r="N82" s="3"/>
      <c r="O82" s="3"/>
      <c r="P82" s="3"/>
      <c r="Q82" s="553"/>
      <c r="R82" s="3"/>
      <c r="S82" s="3"/>
      <c r="T82" s="3"/>
      <c r="U82" s="39"/>
    </row>
    <row r="83" spans="1:21" x14ac:dyDescent="0.15">
      <c r="A83" s="529"/>
      <c r="B83" s="548">
        <v>690</v>
      </c>
      <c r="C83" s="548">
        <f t="shared" si="5"/>
        <v>5.2509976895610143E-7</v>
      </c>
      <c r="D83" s="548">
        <f t="shared" si="6"/>
        <v>0.52509976895610144</v>
      </c>
      <c r="E83" s="548">
        <f t="shared" si="4"/>
        <v>1.7238009678898891E-3</v>
      </c>
      <c r="F83" s="252">
        <f t="shared" si="7"/>
        <v>-27.635128797741245</v>
      </c>
      <c r="G83" s="249" t="s">
        <v>554</v>
      </c>
      <c r="H83" s="249"/>
      <c r="I83" s="894">
        <f>(S7*B83)/79.76</f>
        <v>6.4882146439317951</v>
      </c>
      <c r="J83" s="82"/>
      <c r="K83" s="83"/>
      <c r="L83" s="3"/>
      <c r="M83" s="3"/>
      <c r="N83" s="3"/>
      <c r="O83" s="3"/>
      <c r="P83" s="3"/>
      <c r="Q83" s="553"/>
      <c r="R83" s="3"/>
      <c r="S83" s="3"/>
      <c r="T83" s="3"/>
      <c r="U83" s="39"/>
    </row>
    <row r="84" spans="1:21" x14ac:dyDescent="0.15">
      <c r="A84" s="529"/>
      <c r="B84" s="548">
        <v>700</v>
      </c>
      <c r="C84" s="548">
        <f t="shared" si="5"/>
        <v>2.3873016008267562E-7</v>
      </c>
      <c r="D84" s="548">
        <f t="shared" si="6"/>
        <v>0.23873016008267561</v>
      </c>
      <c r="E84" s="548">
        <f t="shared" si="4"/>
        <v>7.8370493636501274E-4</v>
      </c>
      <c r="F84" s="252">
        <f t="shared" si="7"/>
        <v>-31.058474177091306</v>
      </c>
      <c r="G84" s="249" t="s">
        <v>554</v>
      </c>
      <c r="H84" s="249"/>
      <c r="I84" s="894">
        <f>(S7*B84)/79.76</f>
        <v>6.5822467402206613</v>
      </c>
      <c r="J84" s="82"/>
      <c r="K84" s="83"/>
      <c r="L84" s="3"/>
      <c r="M84" s="3"/>
      <c r="N84" s="3"/>
      <c r="O84" s="3"/>
      <c r="P84" s="3"/>
      <c r="Q84" s="553"/>
      <c r="R84" s="3"/>
      <c r="S84" s="3"/>
      <c r="T84" s="3"/>
      <c r="U84" s="39"/>
    </row>
    <row r="85" spans="1:21" x14ac:dyDescent="0.15">
      <c r="A85" s="529"/>
      <c r="B85" s="548">
        <v>710</v>
      </c>
      <c r="C85" s="548">
        <f t="shared" si="5"/>
        <v>5.981688079160069E-8</v>
      </c>
      <c r="D85" s="548">
        <f t="shared" si="6"/>
        <v>5.9816880791600691E-2</v>
      </c>
      <c r="E85" s="548">
        <f t="shared" si="4"/>
        <v>1.9636724885578006E-4</v>
      </c>
      <c r="F85" s="252">
        <f t="shared" si="7"/>
        <v>-37.069309443865997</v>
      </c>
      <c r="G85" s="249" t="s">
        <v>554</v>
      </c>
      <c r="H85" s="249"/>
      <c r="I85" s="894">
        <f>(S7*B85)/79.76</f>
        <v>6.6762788365095282</v>
      </c>
      <c r="J85" s="82"/>
      <c r="K85" s="83"/>
      <c r="L85" s="3"/>
      <c r="M85" s="3"/>
      <c r="N85" s="3"/>
      <c r="O85" s="3"/>
      <c r="P85" s="3"/>
      <c r="Q85" s="553"/>
      <c r="R85" s="3"/>
      <c r="S85" s="230"/>
      <c r="T85" s="3"/>
      <c r="U85" s="39"/>
    </row>
    <row r="86" spans="1:21" x14ac:dyDescent="0.15">
      <c r="A86" s="529"/>
      <c r="B86" s="548">
        <v>720</v>
      </c>
      <c r="C86" s="548">
        <f t="shared" si="5"/>
        <v>4.6288882180921528E-37</v>
      </c>
      <c r="D86" s="548">
        <f t="shared" si="6"/>
        <v>4.6288882180921531E-31</v>
      </c>
      <c r="E86" s="548">
        <f t="shared" si="4"/>
        <v>1.5195744622901231E-33</v>
      </c>
      <c r="F86" s="256">
        <f t="shared" si="7"/>
        <v>-328.18278013735159</v>
      </c>
      <c r="G86" s="249" t="s">
        <v>554</v>
      </c>
      <c r="H86" s="249"/>
      <c r="I86" s="895">
        <f>(S7*B86)/79.76</f>
        <v>6.7703109327983944</v>
      </c>
      <c r="J86" s="258" t="s">
        <v>776</v>
      </c>
      <c r="K86" s="83"/>
      <c r="L86" s="3"/>
      <c r="M86" s="3"/>
      <c r="N86" s="3"/>
      <c r="O86" s="3"/>
      <c r="P86" s="3"/>
      <c r="Q86" s="553"/>
      <c r="R86" s="3"/>
      <c r="S86" s="3"/>
      <c r="T86" s="3"/>
      <c r="U86" s="39"/>
    </row>
    <row r="87" spans="1:21" x14ac:dyDescent="0.15">
      <c r="A87" s="529"/>
      <c r="B87" s="548">
        <v>730</v>
      </c>
      <c r="C87" s="548">
        <f t="shared" si="5"/>
        <v>5.6584142629096589E-8</v>
      </c>
      <c r="D87" s="548">
        <f t="shared" si="6"/>
        <v>5.6584142629096591E-2</v>
      </c>
      <c r="E87" s="548">
        <f t="shared" si="4"/>
        <v>1.8575479479864446E-4</v>
      </c>
      <c r="F87" s="252">
        <f t="shared" si="7"/>
        <v>-37.310599671893655</v>
      </c>
      <c r="G87" s="249" t="s">
        <v>554</v>
      </c>
      <c r="H87" s="249"/>
      <c r="I87" s="894">
        <f>(S7*B87)/79.76</f>
        <v>6.8643430290872613</v>
      </c>
      <c r="J87" s="82"/>
      <c r="K87" s="83"/>
      <c r="L87" s="3"/>
      <c r="M87" s="3"/>
      <c r="N87" s="3"/>
      <c r="O87" s="3"/>
      <c r="P87" s="3"/>
      <c r="Q87" s="553"/>
      <c r="R87" s="3"/>
      <c r="S87" s="3"/>
      <c r="T87" s="3"/>
      <c r="U87" s="39"/>
    </row>
    <row r="88" spans="1:21" x14ac:dyDescent="0.15">
      <c r="A88" s="529"/>
      <c r="B88" s="548">
        <v>740</v>
      </c>
      <c r="C88" s="548">
        <f t="shared" si="5"/>
        <v>2.1361902564008473E-7</v>
      </c>
      <c r="D88" s="548">
        <f t="shared" si="6"/>
        <v>0.21361902564008473</v>
      </c>
      <c r="E88" s="548">
        <f t="shared" si="4"/>
        <v>7.0126993940623468E-4</v>
      </c>
      <c r="F88" s="252">
        <f t="shared" si="7"/>
        <v>-31.541147771425713</v>
      </c>
      <c r="G88" s="249" t="s">
        <v>554</v>
      </c>
      <c r="H88" s="249"/>
      <c r="I88" s="894">
        <f>(S7*B88)/79.76</f>
        <v>6.9583751253761283</v>
      </c>
      <c r="J88" s="82"/>
      <c r="K88" s="83"/>
      <c r="L88" s="3"/>
      <c r="M88" s="3"/>
      <c r="N88" s="3"/>
      <c r="O88" s="3"/>
      <c r="P88" s="3"/>
      <c r="Q88" s="553"/>
      <c r="R88" s="3"/>
      <c r="S88" s="3"/>
      <c r="T88" s="3"/>
      <c r="U88" s="39"/>
    </row>
    <row r="89" spans="1:21" x14ac:dyDescent="0.15">
      <c r="A89" s="529"/>
      <c r="B89" s="548">
        <v>750</v>
      </c>
      <c r="C89" s="548">
        <f t="shared" si="5"/>
        <v>4.4444444444444274E-7</v>
      </c>
      <c r="D89" s="548">
        <f t="shared" si="6"/>
        <v>0.44444444444444275</v>
      </c>
      <c r="E89" s="548">
        <f t="shared" si="4"/>
        <v>1.4590251392219971E-3</v>
      </c>
      <c r="F89" s="252">
        <f t="shared" si="7"/>
        <v>-28.359372250830155</v>
      </c>
      <c r="G89" s="249" t="s">
        <v>554</v>
      </c>
      <c r="H89" s="249"/>
      <c r="I89" s="894">
        <f>(S7*B89)/79.76</f>
        <v>7.0524072216649945</v>
      </c>
      <c r="J89" s="82"/>
      <c r="K89" s="83"/>
      <c r="L89" s="3"/>
      <c r="M89" s="3"/>
      <c r="N89" s="3"/>
      <c r="O89" s="3"/>
      <c r="P89" s="3"/>
      <c r="Q89" s="553"/>
      <c r="R89" s="3"/>
      <c r="S89" s="3"/>
      <c r="T89" s="3"/>
      <c r="U89" s="39"/>
    </row>
    <row r="90" spans="1:21" x14ac:dyDescent="0.15">
      <c r="A90" s="529"/>
      <c r="B90" s="548">
        <v>760</v>
      </c>
      <c r="C90" s="548">
        <f t="shared" si="5"/>
        <v>7.1533225617474943E-7</v>
      </c>
      <c r="D90" s="548">
        <f t="shared" si="6"/>
        <v>0.71533225617474938</v>
      </c>
      <c r="E90" s="548">
        <f t="shared" si="4"/>
        <v>2.3482974254745441E-3</v>
      </c>
      <c r="F90" s="252">
        <f t="shared" si="7"/>
        <v>-26.292468980283637</v>
      </c>
      <c r="G90" s="249" t="s">
        <v>554</v>
      </c>
      <c r="H90" s="249"/>
      <c r="I90" s="894">
        <f>(S7*B90)/79.76</f>
        <v>7.1464393179538614</v>
      </c>
      <c r="J90" s="82"/>
      <c r="K90" s="83"/>
      <c r="L90" s="3"/>
      <c r="M90" s="3"/>
      <c r="N90" s="3"/>
      <c r="O90" s="3"/>
      <c r="P90" s="3"/>
      <c r="Q90" s="553"/>
      <c r="R90" s="3"/>
      <c r="S90" s="3"/>
      <c r="T90" s="3"/>
      <c r="U90" s="39"/>
    </row>
    <row r="91" spans="1:21" x14ac:dyDescent="0.15">
      <c r="A91" s="529"/>
      <c r="B91" s="548">
        <v>770</v>
      </c>
      <c r="C91" s="548">
        <f t="shared" si="5"/>
        <v>9.8975221594445192E-7</v>
      </c>
      <c r="D91" s="548">
        <f t="shared" si="6"/>
        <v>0.98975221594445195</v>
      </c>
      <c r="E91" s="548">
        <f t="shared" si="4"/>
        <v>3.2491650704931894E-3</v>
      </c>
      <c r="F91" s="252">
        <f t="shared" si="7"/>
        <v>-24.882282242095762</v>
      </c>
      <c r="G91" s="249" t="s">
        <v>554</v>
      </c>
      <c r="H91" s="249"/>
      <c r="I91" s="894">
        <f>(S7*B91)/79.76</f>
        <v>7.2404714142427276</v>
      </c>
      <c r="J91" s="82"/>
      <c r="K91" s="83"/>
      <c r="L91" s="3"/>
      <c r="M91" s="3"/>
      <c r="N91" s="3"/>
      <c r="O91" s="3"/>
      <c r="P91" s="3"/>
      <c r="Q91" s="553"/>
      <c r="R91" s="3"/>
      <c r="S91" s="3"/>
      <c r="T91" s="3"/>
      <c r="U91" s="39"/>
    </row>
    <row r="92" spans="1:21" x14ac:dyDescent="0.15">
      <c r="A92" s="529"/>
      <c r="B92" s="548">
        <v>780</v>
      </c>
      <c r="C92" s="548">
        <f t="shared" si="5"/>
        <v>1.2327416173570021E-6</v>
      </c>
      <c r="D92" s="548">
        <f t="shared" si="6"/>
        <v>1.2327416173570021</v>
      </c>
      <c r="E92" s="548">
        <f t="shared" si="4"/>
        <v>4.0468522722503777E-3</v>
      </c>
      <c r="F92" s="252">
        <f t="shared" si="7"/>
        <v>-23.928826489609122</v>
      </c>
      <c r="G92" s="249" t="s">
        <v>554</v>
      </c>
      <c r="H92" s="249"/>
      <c r="I92" s="894">
        <f>(S7*B92)/79.76</f>
        <v>7.3345035105315946</v>
      </c>
      <c r="J92" s="82"/>
      <c r="K92" s="83"/>
      <c r="L92" s="3"/>
      <c r="M92" s="3"/>
      <c r="N92" s="3"/>
      <c r="O92" s="3"/>
      <c r="P92" s="3"/>
      <c r="Q92" s="553"/>
      <c r="R92" s="3"/>
      <c r="S92" s="3"/>
      <c r="T92" s="3"/>
      <c r="U92" s="39"/>
    </row>
    <row r="93" spans="1:21" x14ac:dyDescent="0.15">
      <c r="A93" s="529"/>
      <c r="B93" s="548">
        <v>790</v>
      </c>
      <c r="C93" s="548">
        <f t="shared" si="5"/>
        <v>1.4148729715742491E-6</v>
      </c>
      <c r="D93" s="548">
        <f t="shared" si="6"/>
        <v>1.414872971574249</v>
      </c>
      <c r="E93" s="548">
        <f t="shared" si="4"/>
        <v>4.6447542772482765E-3</v>
      </c>
      <c r="F93" s="252">
        <f t="shared" si="7"/>
        <v>-23.330372566666618</v>
      </c>
      <c r="G93" s="249" t="s">
        <v>554</v>
      </c>
      <c r="H93" s="249"/>
      <c r="I93" s="894">
        <f>(S7*B93)/79.76</f>
        <v>7.4285356068204607</v>
      </c>
      <c r="J93" s="82"/>
      <c r="K93" s="83"/>
      <c r="L93" s="3"/>
      <c r="M93" s="3"/>
      <c r="N93" s="3"/>
      <c r="O93" s="3"/>
      <c r="P93" s="3"/>
      <c r="Q93" s="553"/>
      <c r="R93" s="3"/>
      <c r="S93" s="3"/>
      <c r="T93" s="3"/>
      <c r="U93" s="39"/>
    </row>
    <row r="94" spans="1:21" x14ac:dyDescent="0.15">
      <c r="A94" s="529"/>
      <c r="B94" s="548">
        <v>800</v>
      </c>
      <c r="C94" s="548">
        <f t="shared" si="5"/>
        <v>1.5153848599889908E-6</v>
      </c>
      <c r="D94" s="548">
        <f t="shared" si="6"/>
        <v>1.5153848599889908</v>
      </c>
      <c r="E94" s="548">
        <f t="shared" si="4"/>
        <v>4.9747153642207926E-3</v>
      </c>
      <c r="F94" s="252">
        <f t="shared" si="7"/>
        <v>-23.032317630156676</v>
      </c>
      <c r="G94" s="249" t="s">
        <v>554</v>
      </c>
      <c r="H94" s="249"/>
      <c r="I94" s="894">
        <f>(S7*B94)/79.76</f>
        <v>7.5225677031093277</v>
      </c>
      <c r="J94" s="82"/>
      <c r="K94" s="83"/>
      <c r="L94" s="3"/>
      <c r="M94" s="3"/>
      <c r="N94" s="3"/>
      <c r="O94" s="3"/>
      <c r="P94" s="3"/>
      <c r="Q94" s="553"/>
      <c r="R94" s="3"/>
      <c r="S94" s="230"/>
      <c r="T94" s="3"/>
      <c r="U94" s="39"/>
    </row>
    <row r="95" spans="1:21" x14ac:dyDescent="0.15">
      <c r="A95" s="529"/>
      <c r="B95" s="548">
        <v>810</v>
      </c>
      <c r="C95" s="548">
        <f t="shared" si="5"/>
        <v>1.5241579027587259E-6</v>
      </c>
      <c r="D95" s="548">
        <f t="shared" si="6"/>
        <v>1.5241579027587258</v>
      </c>
      <c r="E95" s="548">
        <f t="shared" si="4"/>
        <v>5.003515566604947E-3</v>
      </c>
      <c r="F95" s="257">
        <f t="shared" si="7"/>
        <v>-23.007247447289512</v>
      </c>
      <c r="G95" s="249" t="s">
        <v>554</v>
      </c>
      <c r="H95" s="249"/>
      <c r="I95" s="896">
        <f>(S7*B95)/79.76</f>
        <v>7.6165997993981938</v>
      </c>
      <c r="J95" s="258" t="s">
        <v>777</v>
      </c>
      <c r="K95" s="259"/>
      <c r="L95" s="3"/>
      <c r="M95" s="3"/>
      <c r="N95" s="3"/>
      <c r="O95" s="3"/>
      <c r="P95" s="3"/>
      <c r="Q95" s="553"/>
      <c r="R95" s="3"/>
      <c r="S95" s="3"/>
      <c r="T95" s="3"/>
      <c r="U95" s="39"/>
    </row>
    <row r="96" spans="1:21" x14ac:dyDescent="0.15">
      <c r="A96" s="529"/>
      <c r="B96" s="548">
        <v>820</v>
      </c>
      <c r="C96" s="548">
        <f t="shared" si="5"/>
        <v>1.4423651255100455E-6</v>
      </c>
      <c r="D96" s="548">
        <f t="shared" si="6"/>
        <v>1.4423651255100456</v>
      </c>
      <c r="E96" s="548">
        <f t="shared" si="4"/>
        <v>4.7350057006265754E-3</v>
      </c>
      <c r="F96" s="252">
        <f t="shared" si="7"/>
        <v>-23.246794937992135</v>
      </c>
      <c r="G96" s="249" t="s">
        <v>554</v>
      </c>
      <c r="H96" s="249"/>
      <c r="I96" s="894">
        <f>(S7*B96)/79.76</f>
        <v>7.7106318956870608</v>
      </c>
      <c r="J96" s="82"/>
      <c r="K96" s="83"/>
      <c r="L96" s="3"/>
      <c r="M96" s="3"/>
      <c r="N96" s="3"/>
      <c r="O96" s="3"/>
      <c r="P96" s="3"/>
      <c r="Q96" s="553"/>
      <c r="R96" s="3"/>
      <c r="S96" s="3"/>
      <c r="T96" s="3"/>
      <c r="U96" s="39"/>
    </row>
    <row r="97" spans="1:21" x14ac:dyDescent="0.15">
      <c r="A97" s="529"/>
      <c r="B97" s="548">
        <v>830</v>
      </c>
      <c r="C97" s="548">
        <f t="shared" si="5"/>
        <v>1.281785776686732E-6</v>
      </c>
      <c r="D97" s="548">
        <f t="shared" si="6"/>
        <v>1.281785776686732</v>
      </c>
      <c r="E97" s="548">
        <f t="shared" si="4"/>
        <v>4.2078547603870697E-3</v>
      </c>
      <c r="F97" s="252">
        <f t="shared" si="7"/>
        <v>-23.75939258837926</v>
      </c>
      <c r="G97" s="249" t="s">
        <v>554</v>
      </c>
      <c r="H97" s="249"/>
      <c r="I97" s="894">
        <f>(S7*B97)/79.76</f>
        <v>7.8046639919759269</v>
      </c>
      <c r="J97" s="82"/>
      <c r="K97" s="83"/>
      <c r="L97" s="3"/>
      <c r="M97" s="3"/>
      <c r="N97" s="3"/>
      <c r="O97" s="3"/>
      <c r="P97" s="3"/>
      <c r="Q97" s="553"/>
      <c r="R97" s="3"/>
      <c r="S97" s="3"/>
      <c r="T97" s="3"/>
      <c r="U97" s="39"/>
    </row>
    <row r="98" spans="1:21" x14ac:dyDescent="0.15">
      <c r="A98" s="529"/>
      <c r="B98" s="548">
        <v>840</v>
      </c>
      <c r="C98" s="548">
        <f t="shared" si="5"/>
        <v>1.0629251700680265E-6</v>
      </c>
      <c r="D98" s="548">
        <f t="shared" si="6"/>
        <v>1.0629251700680264</v>
      </c>
      <c r="E98" s="548">
        <f t="shared" si="4"/>
        <v>3.4893777245424145E-3</v>
      </c>
      <c r="F98" s="252">
        <f t="shared" si="7"/>
        <v>-24.572520157037154</v>
      </c>
      <c r="G98" s="249" t="s">
        <v>554</v>
      </c>
      <c r="H98" s="249"/>
      <c r="I98" s="894">
        <f>(S7*B98)/79.76</f>
        <v>7.8986960882647939</v>
      </c>
      <c r="J98" s="82"/>
      <c r="K98" s="83"/>
      <c r="L98" s="3"/>
      <c r="M98" s="3"/>
      <c r="N98" s="3"/>
      <c r="O98" s="3"/>
      <c r="P98" s="3"/>
      <c r="Q98" s="553"/>
      <c r="R98" s="3"/>
      <c r="S98" s="3"/>
      <c r="T98" s="3"/>
      <c r="U98" s="39"/>
    </row>
    <row r="99" spans="1:21" x14ac:dyDescent="0.15">
      <c r="A99" s="529"/>
      <c r="B99" s="529"/>
      <c r="C99" s="529"/>
      <c r="D99" s="529"/>
      <c r="E99" s="529"/>
      <c r="F99" s="81"/>
      <c r="G99" s="82"/>
      <c r="H99" s="82"/>
      <c r="I99" s="897"/>
      <c r="J99" s="82"/>
      <c r="K99" s="83"/>
      <c r="L99" s="3"/>
      <c r="M99" s="3"/>
      <c r="N99" s="3"/>
      <c r="O99" s="3"/>
      <c r="P99" s="3"/>
      <c r="Q99" s="3"/>
      <c r="R99" s="3"/>
      <c r="S99" s="3"/>
      <c r="T99" s="3"/>
    </row>
    <row r="100" spans="1:21" x14ac:dyDescent="0.15">
      <c r="A100" s="529"/>
      <c r="B100" s="529"/>
      <c r="C100" s="529"/>
      <c r="D100" s="529"/>
      <c r="E100" s="529"/>
      <c r="F100" s="84"/>
      <c r="G100" s="85"/>
      <c r="H100" s="85"/>
      <c r="I100" s="898"/>
      <c r="J100" s="85"/>
      <c r="K100" s="86"/>
      <c r="L100" s="3"/>
      <c r="M100" s="3"/>
      <c r="N100" s="3"/>
      <c r="O100" s="3"/>
      <c r="P100" s="3"/>
      <c r="Q100" s="3"/>
      <c r="R100" s="3"/>
      <c r="S100" s="3"/>
      <c r="T100" s="3"/>
    </row>
    <row r="101" spans="1:21" x14ac:dyDescent="0.15">
      <c r="A101" s="529"/>
      <c r="B101" s="529"/>
      <c r="C101" s="529"/>
      <c r="D101" s="529"/>
      <c r="E101" s="529"/>
      <c r="F101" s="3"/>
      <c r="G101" s="3"/>
      <c r="H101" s="3"/>
      <c r="I101" s="3"/>
      <c r="J101" s="3"/>
      <c r="K101" s="3"/>
      <c r="L101" s="3"/>
      <c r="M101" s="3"/>
      <c r="N101" s="3"/>
      <c r="O101" s="3"/>
      <c r="P101" s="3"/>
      <c r="Q101" s="3"/>
      <c r="R101" s="3"/>
      <c r="S101" s="3"/>
      <c r="T101" s="3"/>
    </row>
    <row r="102" spans="1:21" x14ac:dyDescent="0.15">
      <c r="A102" s="529"/>
      <c r="B102" s="529"/>
      <c r="C102" s="529"/>
      <c r="D102" s="529"/>
      <c r="E102" s="529"/>
      <c r="F102" s="3"/>
      <c r="G102" s="3"/>
      <c r="H102" s="3"/>
      <c r="I102" s="3"/>
      <c r="J102" s="3"/>
      <c r="K102" s="3"/>
      <c r="L102" s="3"/>
      <c r="M102" s="3"/>
      <c r="N102" s="3"/>
      <c r="O102" s="3"/>
      <c r="P102" s="3"/>
      <c r="Q102" s="3"/>
      <c r="R102" s="3"/>
      <c r="S102" s="3"/>
      <c r="T102" s="3"/>
    </row>
    <row r="103" spans="1:21" x14ac:dyDescent="0.15">
      <c r="A103" s="529"/>
      <c r="B103" s="529"/>
      <c r="C103" s="529"/>
      <c r="D103" s="529"/>
      <c r="E103" s="529"/>
      <c r="F103" s="3"/>
      <c r="G103" s="3"/>
      <c r="H103" s="3"/>
      <c r="I103" s="3"/>
      <c r="J103" s="3"/>
      <c r="K103" s="3"/>
      <c r="L103" s="3"/>
      <c r="M103" s="3"/>
      <c r="N103" s="3"/>
      <c r="O103" s="3"/>
      <c r="P103" s="3"/>
      <c r="Q103" s="3"/>
      <c r="R103" s="3"/>
      <c r="S103" s="3"/>
      <c r="T103" s="3"/>
    </row>
    <row r="104" spans="1:21" x14ac:dyDescent="0.15">
      <c r="A104" s="529"/>
      <c r="B104" s="529"/>
      <c r="C104" s="529"/>
      <c r="D104" s="529"/>
      <c r="E104" s="529"/>
      <c r="F104" s="3"/>
      <c r="G104" s="3"/>
      <c r="H104" s="3"/>
      <c r="I104" s="3"/>
      <c r="J104" s="3"/>
      <c r="K104" s="3"/>
      <c r="L104" s="3"/>
      <c r="M104" s="3"/>
      <c r="N104" s="3"/>
      <c r="O104" s="3"/>
      <c r="P104" s="3"/>
      <c r="Q104" s="3"/>
      <c r="R104" s="3"/>
      <c r="S104" s="3"/>
      <c r="T104" s="3"/>
    </row>
    <row r="105" spans="1:21" x14ac:dyDescent="0.15">
      <c r="A105" s="529"/>
      <c r="B105" s="529"/>
      <c r="C105" s="529"/>
      <c r="D105" s="529"/>
      <c r="E105" s="529"/>
      <c r="F105" s="3"/>
      <c r="G105" s="3"/>
      <c r="H105" s="3"/>
      <c r="I105" s="3"/>
      <c r="J105" s="3"/>
      <c r="K105" s="3"/>
      <c r="L105" s="3"/>
      <c r="M105" s="3"/>
      <c r="N105" s="3"/>
      <c r="O105" s="3"/>
      <c r="P105" s="3"/>
      <c r="Q105" s="3"/>
      <c r="R105" s="3"/>
      <c r="S105" s="3"/>
      <c r="T105" s="3"/>
    </row>
    <row r="106" spans="1:21" x14ac:dyDescent="0.15">
      <c r="A106" s="3"/>
      <c r="B106" s="3"/>
      <c r="C106" s="3"/>
      <c r="D106" s="3"/>
      <c r="E106" s="3"/>
      <c r="F106" s="3"/>
      <c r="G106" s="3"/>
      <c r="H106" s="3"/>
      <c r="I106" s="3"/>
      <c r="J106" s="3"/>
      <c r="K106" s="3"/>
      <c r="L106" s="3"/>
      <c r="M106" s="3"/>
      <c r="N106" s="3"/>
      <c r="O106" s="3"/>
      <c r="P106" s="3"/>
      <c r="Q106" s="3"/>
      <c r="R106" s="3"/>
      <c r="S106" s="3"/>
      <c r="T106" s="3"/>
    </row>
    <row r="107" spans="1:21" x14ac:dyDescent="0.15">
      <c r="A107" s="3"/>
      <c r="B107" s="3"/>
      <c r="C107" s="3"/>
      <c r="D107" s="3"/>
      <c r="E107" s="3"/>
      <c r="F107" s="3"/>
      <c r="G107" s="3"/>
      <c r="H107" s="3"/>
      <c r="I107" s="3"/>
      <c r="J107" s="3"/>
      <c r="K107" s="3"/>
      <c r="L107" s="3"/>
      <c r="M107" s="3"/>
      <c r="N107" s="3"/>
      <c r="O107" s="3"/>
      <c r="P107" s="3"/>
      <c r="Q107" s="3"/>
      <c r="R107" s="3"/>
      <c r="S107" s="3"/>
      <c r="T107" s="3"/>
    </row>
    <row r="108" spans="1:21" x14ac:dyDescent="0.15">
      <c r="A108" s="3"/>
      <c r="B108" s="3"/>
      <c r="C108" s="3"/>
      <c r="D108" s="3"/>
      <c r="E108" s="3"/>
      <c r="F108" s="3"/>
      <c r="G108" s="3"/>
      <c r="H108" s="3"/>
      <c r="I108" s="3"/>
      <c r="J108" s="3"/>
      <c r="K108" s="3"/>
      <c r="L108" s="3"/>
      <c r="M108" s="3"/>
      <c r="N108" s="3"/>
      <c r="O108" s="3"/>
      <c r="P108" s="3"/>
      <c r="Q108" s="3"/>
      <c r="R108" s="3"/>
      <c r="S108" s="3"/>
      <c r="T108" s="3"/>
    </row>
    <row r="109" spans="1:21" x14ac:dyDescent="0.15">
      <c r="A109" s="3"/>
      <c r="B109" s="3"/>
      <c r="C109" s="3"/>
      <c r="D109" s="3"/>
      <c r="E109" s="3"/>
      <c r="F109" s="3"/>
      <c r="G109" s="3"/>
      <c r="H109" s="3"/>
      <c r="I109" s="3"/>
      <c r="J109" s="3"/>
      <c r="K109" s="3"/>
      <c r="L109" s="3"/>
      <c r="M109" s="3"/>
      <c r="N109" s="3"/>
      <c r="O109" s="3"/>
      <c r="P109" s="3"/>
      <c r="Q109" s="3"/>
      <c r="R109" s="3"/>
      <c r="S109" s="3"/>
      <c r="T109" s="3"/>
    </row>
    <row r="110" spans="1:21" x14ac:dyDescent="0.15">
      <c r="A110" s="3"/>
      <c r="B110" s="3"/>
      <c r="C110" s="3"/>
      <c r="D110" s="3"/>
      <c r="E110" s="3"/>
      <c r="F110" s="3"/>
      <c r="G110" s="3"/>
      <c r="H110" s="3"/>
      <c r="I110" s="3"/>
      <c r="J110" s="3"/>
      <c r="K110" s="3"/>
      <c r="L110" s="3"/>
      <c r="M110" s="3"/>
      <c r="N110" s="3"/>
      <c r="O110" s="3"/>
      <c r="P110" s="3"/>
      <c r="Q110" s="3"/>
      <c r="R110" s="3"/>
      <c r="S110" s="3"/>
      <c r="T110" s="3"/>
    </row>
    <row r="111" spans="1:21" x14ac:dyDescent="0.15">
      <c r="A111" s="3"/>
      <c r="B111" s="3"/>
      <c r="C111" s="3"/>
      <c r="D111" s="3"/>
      <c r="E111" s="3"/>
      <c r="F111" s="3"/>
      <c r="G111" s="3"/>
      <c r="H111" s="3"/>
      <c r="I111" s="3"/>
      <c r="J111" s="3"/>
      <c r="K111" s="3"/>
      <c r="L111" s="3"/>
      <c r="M111" s="3"/>
      <c r="N111" s="3"/>
      <c r="O111" s="3"/>
      <c r="P111" s="3"/>
      <c r="Q111" s="3"/>
      <c r="R111" s="3"/>
      <c r="S111" s="3"/>
      <c r="T111" s="3"/>
    </row>
    <row r="112" spans="1:21" x14ac:dyDescent="0.15">
      <c r="A112" s="3"/>
      <c r="B112" s="3"/>
      <c r="C112" s="3"/>
      <c r="D112" s="3"/>
      <c r="E112" s="3"/>
      <c r="F112" s="3"/>
      <c r="G112" s="3"/>
      <c r="H112" s="3"/>
      <c r="I112" s="3"/>
      <c r="J112" s="3"/>
      <c r="K112" s="3"/>
      <c r="L112" s="3"/>
      <c r="M112" s="3"/>
      <c r="N112" s="3"/>
      <c r="O112" s="3"/>
      <c r="P112" s="3"/>
      <c r="Q112" s="3"/>
      <c r="R112" s="3"/>
      <c r="S112" s="3"/>
      <c r="T112" s="3"/>
    </row>
    <row r="113" spans="1:20" x14ac:dyDescent="0.15">
      <c r="A113" s="3"/>
      <c r="B113" s="3"/>
      <c r="C113" s="3"/>
      <c r="D113" s="3"/>
      <c r="E113" s="3"/>
      <c r="F113" s="3"/>
      <c r="G113" s="3"/>
      <c r="H113" s="3"/>
      <c r="I113" s="3"/>
      <c r="J113" s="3"/>
      <c r="K113" s="3"/>
      <c r="L113" s="3"/>
      <c r="M113" s="3"/>
      <c r="N113" s="3"/>
      <c r="O113" s="3"/>
      <c r="P113" s="3"/>
      <c r="Q113" s="3"/>
      <c r="R113" s="3"/>
      <c r="S113" s="3"/>
      <c r="T113" s="3"/>
    </row>
    <row r="114" spans="1:20" x14ac:dyDescent="0.15">
      <c r="A114" s="3"/>
      <c r="B114" s="3"/>
      <c r="C114" s="3"/>
      <c r="D114" s="3"/>
      <c r="E114" s="3"/>
      <c r="F114" s="3"/>
      <c r="G114" s="3"/>
      <c r="H114" s="3"/>
      <c r="I114" s="3"/>
      <c r="J114" s="3"/>
      <c r="K114" s="3"/>
      <c r="L114" s="3"/>
      <c r="M114" s="3"/>
      <c r="N114" s="3"/>
      <c r="O114" s="3"/>
      <c r="P114" s="3"/>
      <c r="Q114" s="3"/>
      <c r="R114" s="3"/>
      <c r="S114" s="3"/>
      <c r="T114" s="3"/>
    </row>
    <row r="115" spans="1:20" x14ac:dyDescent="0.15">
      <c r="A115" s="3"/>
      <c r="B115" s="3"/>
      <c r="C115" s="3"/>
      <c r="D115" s="3"/>
      <c r="E115" s="3"/>
      <c r="F115" s="3"/>
      <c r="G115" s="3"/>
      <c r="H115" s="3"/>
      <c r="I115" s="3"/>
      <c r="J115" s="3"/>
      <c r="K115" s="3"/>
      <c r="L115" s="3"/>
      <c r="M115" s="3"/>
      <c r="N115" s="3"/>
      <c r="O115" s="3"/>
      <c r="P115" s="3"/>
      <c r="Q115" s="3"/>
      <c r="R115" s="3"/>
      <c r="S115" s="3"/>
      <c r="T115" s="3"/>
    </row>
    <row r="116" spans="1:20" x14ac:dyDescent="0.15">
      <c r="A116" s="3"/>
      <c r="B116" s="3"/>
      <c r="C116" s="3"/>
      <c r="D116" s="3"/>
      <c r="E116" s="3"/>
      <c r="F116" s="3"/>
      <c r="G116" s="3"/>
      <c r="H116" s="3"/>
      <c r="I116" s="3"/>
      <c r="J116" s="3"/>
      <c r="K116" s="3"/>
      <c r="L116" s="3"/>
      <c r="M116" s="3"/>
      <c r="N116" s="3"/>
      <c r="O116" s="3"/>
      <c r="P116" s="3"/>
      <c r="Q116" s="3"/>
      <c r="R116" s="3"/>
      <c r="S116" s="3"/>
      <c r="T116" s="3"/>
    </row>
    <row r="117" spans="1:20" x14ac:dyDescent="0.15">
      <c r="A117" s="3"/>
      <c r="B117" s="3"/>
      <c r="C117" s="3"/>
      <c r="D117" s="3"/>
      <c r="E117" s="3"/>
      <c r="F117" s="3"/>
      <c r="G117" s="3"/>
      <c r="H117" s="3"/>
      <c r="I117" s="3"/>
      <c r="J117" s="3"/>
      <c r="K117" s="3"/>
      <c r="L117" s="3"/>
      <c r="M117" s="3"/>
      <c r="N117" s="3"/>
      <c r="O117" s="3"/>
      <c r="P117" s="3"/>
      <c r="Q117" s="3"/>
      <c r="R117" s="3"/>
      <c r="S117" s="3"/>
      <c r="T117" s="3"/>
    </row>
    <row r="118" spans="1:20" x14ac:dyDescent="0.15">
      <c r="A118" s="3"/>
      <c r="B118" s="3"/>
      <c r="C118" s="3"/>
      <c r="D118" s="3"/>
      <c r="E118" s="3"/>
      <c r="F118" s="3"/>
      <c r="G118" s="3"/>
      <c r="H118" s="3"/>
      <c r="I118" s="3"/>
      <c r="J118" s="3"/>
      <c r="K118" s="3"/>
      <c r="L118" s="3"/>
      <c r="M118" s="3"/>
      <c r="N118" s="3"/>
      <c r="O118" s="3"/>
      <c r="P118" s="3"/>
      <c r="Q118" s="3"/>
      <c r="R118" s="3"/>
      <c r="S118" s="3"/>
      <c r="T118" s="3"/>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47"/>
  </sheetPr>
  <dimension ref="A1"/>
  <sheetViews>
    <sheetView zoomScaleNormal="100" workbookViewId="0">
      <selection activeCell="P31" sqref="P31"/>
    </sheetView>
  </sheetViews>
  <sheetFormatPr baseColWidth="10" defaultColWidth="10.6640625" defaultRowHeight="13" x14ac:dyDescent="0.15"/>
  <cols>
    <col min="1" max="256" width="8.83203125" customWidth="1"/>
  </cols>
  <sheetData/>
  <phoneticPr fontId="26" type="noConversion"/>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indexed="47"/>
  </sheetPr>
  <dimension ref="A1:S150"/>
  <sheetViews>
    <sheetView topLeftCell="A4" workbookViewId="0">
      <selection activeCell="G10" sqref="G10"/>
    </sheetView>
  </sheetViews>
  <sheetFormatPr baseColWidth="10" defaultColWidth="10.6640625" defaultRowHeight="13" x14ac:dyDescent="0.15"/>
  <cols>
    <col min="1" max="2" width="8.83203125" customWidth="1"/>
    <col min="3" max="3" width="9.6640625" customWidth="1"/>
    <col min="4" max="10" width="8.83203125" customWidth="1"/>
    <col min="11" max="11" width="12.83203125" customWidth="1"/>
    <col min="12" max="12" width="10.5" customWidth="1"/>
    <col min="13" max="13" width="13.5" customWidth="1"/>
    <col min="14" max="256" width="8.83203125" customWidth="1"/>
  </cols>
  <sheetData>
    <row r="1" spans="1:19" ht="19" thickBot="1" x14ac:dyDescent="0.25">
      <c r="A1" s="119" t="s">
        <v>355</v>
      </c>
      <c r="B1" s="121"/>
      <c r="C1" s="121"/>
      <c r="D1" s="121"/>
      <c r="E1" s="121"/>
      <c r="F1" s="121"/>
      <c r="G1" s="121"/>
      <c r="H1" s="121"/>
      <c r="I1" s="121"/>
      <c r="J1" s="121"/>
      <c r="K1" s="121"/>
      <c r="L1" s="121"/>
      <c r="M1" s="121"/>
      <c r="N1" s="121"/>
      <c r="O1" s="121"/>
      <c r="P1" s="121"/>
      <c r="Q1" s="121"/>
      <c r="R1" s="121"/>
      <c r="S1" s="121"/>
    </row>
    <row r="2" spans="1:19" x14ac:dyDescent="0.15">
      <c r="A2" s="3"/>
      <c r="B2" s="3"/>
      <c r="C2" s="3"/>
      <c r="D2" s="3"/>
      <c r="E2" s="3"/>
      <c r="F2" s="3"/>
      <c r="G2" s="3"/>
      <c r="H2" s="3"/>
      <c r="I2" s="3"/>
      <c r="J2" s="3"/>
      <c r="K2" s="3"/>
      <c r="L2" s="3"/>
      <c r="M2" s="3"/>
      <c r="N2" s="3"/>
      <c r="O2" s="3"/>
      <c r="P2" s="3"/>
      <c r="Q2" s="3"/>
      <c r="R2" s="3"/>
      <c r="S2" s="3"/>
    </row>
    <row r="3" spans="1:19" x14ac:dyDescent="0.15">
      <c r="A3" s="3"/>
      <c r="B3" s="3"/>
      <c r="C3" s="3"/>
      <c r="D3" s="3"/>
      <c r="E3" s="3"/>
      <c r="F3" s="3"/>
      <c r="G3" s="3"/>
      <c r="H3" s="3"/>
      <c r="I3" s="3"/>
      <c r="J3" s="3"/>
      <c r="K3" s="3"/>
      <c r="L3" s="3"/>
      <c r="M3" s="3"/>
      <c r="N3" s="3"/>
      <c r="O3" s="3"/>
      <c r="P3" s="3"/>
      <c r="Q3" s="3"/>
      <c r="R3" s="3"/>
      <c r="S3" s="3"/>
    </row>
    <row r="4" spans="1:19" x14ac:dyDescent="0.15">
      <c r="A4" s="3"/>
      <c r="B4" s="351" t="s">
        <v>1026</v>
      </c>
      <c r="C4" s="3"/>
      <c r="D4" s="3"/>
      <c r="E4" s="3"/>
      <c r="F4" s="3"/>
      <c r="G4" s="3"/>
      <c r="H4" s="3"/>
      <c r="I4" s="3"/>
      <c r="J4" s="3"/>
      <c r="K4" s="3"/>
      <c r="L4" s="3"/>
      <c r="M4" s="3"/>
      <c r="N4" s="3"/>
      <c r="O4" s="3"/>
      <c r="P4" s="3"/>
      <c r="Q4" s="3"/>
      <c r="R4" s="3"/>
      <c r="S4" s="3"/>
    </row>
    <row r="5" spans="1:19" x14ac:dyDescent="0.15">
      <c r="A5" s="3"/>
      <c r="B5" s="3"/>
      <c r="C5" s="3"/>
      <c r="D5" s="3"/>
      <c r="E5" s="3"/>
      <c r="F5" s="3"/>
      <c r="G5" s="3"/>
      <c r="H5" s="3"/>
      <c r="I5" s="3"/>
      <c r="J5" s="3"/>
      <c r="K5" s="3"/>
      <c r="L5" s="3"/>
      <c r="M5" s="3"/>
      <c r="N5" s="3"/>
      <c r="O5" s="3"/>
      <c r="P5" s="3"/>
      <c r="Q5" s="3"/>
      <c r="R5" s="3"/>
      <c r="S5" s="3"/>
    </row>
    <row r="6" spans="1:19" x14ac:dyDescent="0.15">
      <c r="A6" s="3"/>
      <c r="B6" s="3"/>
      <c r="C6" s="3"/>
      <c r="D6" s="3"/>
      <c r="E6" s="3"/>
      <c r="F6" s="3"/>
      <c r="G6" s="3"/>
      <c r="H6" s="3"/>
      <c r="I6" s="3"/>
      <c r="J6" s="3"/>
      <c r="K6" s="3"/>
      <c r="L6" s="3"/>
      <c r="M6" s="3"/>
      <c r="N6" s="3"/>
      <c r="O6" s="3"/>
      <c r="P6" s="3"/>
      <c r="Q6" s="3"/>
      <c r="R6" s="3"/>
      <c r="S6" s="3"/>
    </row>
    <row r="7" spans="1:19" x14ac:dyDescent="0.15">
      <c r="A7" s="3"/>
      <c r="B7" s="245" t="s">
        <v>235</v>
      </c>
      <c r="C7" s="189"/>
      <c r="D7" s="190"/>
      <c r="E7" s="3"/>
      <c r="F7" s="3"/>
      <c r="G7" s="3"/>
      <c r="H7" s="3"/>
      <c r="I7" s="3"/>
      <c r="J7" s="3"/>
      <c r="K7" s="3"/>
      <c r="L7" s="3"/>
      <c r="M7" s="3"/>
      <c r="N7" s="3"/>
      <c r="O7" s="3"/>
      <c r="P7" s="3"/>
      <c r="Q7" s="3"/>
      <c r="R7" s="3"/>
      <c r="S7" s="3"/>
    </row>
    <row r="8" spans="1:19" x14ac:dyDescent="0.15">
      <c r="A8" s="3"/>
      <c r="B8" s="3"/>
      <c r="C8" s="3"/>
      <c r="D8" s="3"/>
      <c r="E8" s="3"/>
      <c r="F8" s="3"/>
      <c r="G8" s="3"/>
      <c r="H8" s="3"/>
      <c r="I8" s="3"/>
      <c r="J8" s="3"/>
      <c r="K8" s="3"/>
      <c r="L8" s="3"/>
      <c r="M8" s="3"/>
      <c r="N8" s="3"/>
      <c r="O8" s="3"/>
      <c r="P8" s="3"/>
      <c r="Q8" s="3"/>
      <c r="R8" s="3"/>
      <c r="S8" s="3"/>
    </row>
    <row r="9" spans="1:19" x14ac:dyDescent="0.15">
      <c r="A9" s="3"/>
      <c r="B9" s="3"/>
      <c r="C9" s="3"/>
      <c r="D9" s="3"/>
      <c r="E9" s="3"/>
      <c r="F9" s="3"/>
      <c r="G9" s="3"/>
      <c r="H9" s="3"/>
      <c r="I9" s="3"/>
      <c r="J9" s="3"/>
      <c r="K9" s="3"/>
      <c r="L9" s="3"/>
      <c r="M9" s="3"/>
      <c r="N9" s="3"/>
      <c r="O9" s="3"/>
      <c r="P9" s="3" t="s">
        <v>512</v>
      </c>
      <c r="Q9" s="3"/>
      <c r="R9" s="3"/>
      <c r="S9" s="3"/>
    </row>
    <row r="10" spans="1:19" x14ac:dyDescent="0.15">
      <c r="A10" s="3"/>
      <c r="B10" s="3"/>
      <c r="C10" s="4" t="s">
        <v>236</v>
      </c>
      <c r="D10" s="3"/>
      <c r="E10" s="3"/>
      <c r="F10" s="3"/>
      <c r="G10" s="585" t="s">
        <v>239</v>
      </c>
      <c r="H10" s="3"/>
      <c r="I10" s="3"/>
      <c r="J10" s="3"/>
      <c r="K10" s="3"/>
      <c r="L10" s="3"/>
      <c r="M10" s="3"/>
      <c r="N10" s="3"/>
      <c r="O10" s="3"/>
      <c r="P10" s="3"/>
      <c r="Q10" s="3"/>
      <c r="R10" s="3"/>
      <c r="S10" s="3"/>
    </row>
    <row r="11" spans="1:19" x14ac:dyDescent="0.15">
      <c r="A11" s="3"/>
      <c r="B11" s="3"/>
      <c r="C11" s="3"/>
      <c r="D11" s="3"/>
      <c r="E11" s="3"/>
      <c r="F11" s="3"/>
      <c r="G11" s="3"/>
      <c r="H11" s="3"/>
      <c r="I11" s="3"/>
      <c r="J11" s="3"/>
      <c r="K11" s="3"/>
      <c r="L11" s="3"/>
      <c r="M11" s="3"/>
      <c r="N11" s="3"/>
      <c r="O11" s="3"/>
      <c r="P11" s="3"/>
      <c r="Q11" s="3"/>
      <c r="R11" s="3"/>
      <c r="S11" s="3"/>
    </row>
    <row r="12" spans="1:19" x14ac:dyDescent="0.15">
      <c r="A12" s="3"/>
      <c r="B12" s="3"/>
      <c r="C12" s="3"/>
      <c r="D12" s="3"/>
      <c r="E12" s="3"/>
      <c r="F12" s="3"/>
      <c r="G12" s="3"/>
      <c r="H12" s="3"/>
      <c r="I12" s="3"/>
      <c r="J12" s="3"/>
      <c r="K12" s="3"/>
      <c r="L12" s="3"/>
      <c r="M12" s="3"/>
      <c r="N12" s="3"/>
      <c r="O12" s="3"/>
      <c r="P12" s="3"/>
      <c r="Q12" s="3"/>
      <c r="R12" s="3"/>
      <c r="S12" s="3"/>
    </row>
    <row r="13" spans="1:19" x14ac:dyDescent="0.15">
      <c r="A13" s="3"/>
      <c r="B13" s="3"/>
      <c r="C13" s="4" t="s">
        <v>238</v>
      </c>
      <c r="D13" s="3"/>
      <c r="E13" s="3"/>
      <c r="F13" s="3"/>
      <c r="G13" s="585" t="s">
        <v>237</v>
      </c>
      <c r="H13" s="3"/>
      <c r="I13" s="3"/>
      <c r="J13" s="3"/>
      <c r="K13" s="3"/>
      <c r="L13" s="3"/>
      <c r="M13" s="3"/>
      <c r="N13" s="3"/>
      <c r="O13" s="3"/>
      <c r="P13" s="3"/>
      <c r="Q13" s="3"/>
      <c r="R13" s="3"/>
      <c r="S13" s="3"/>
    </row>
    <row r="14" spans="1:19" x14ac:dyDescent="0.15">
      <c r="A14" s="3"/>
      <c r="B14" s="3"/>
      <c r="C14" s="3"/>
      <c r="D14" s="3"/>
      <c r="E14" s="3"/>
      <c r="F14" s="3"/>
      <c r="G14" s="3"/>
      <c r="H14" s="3"/>
      <c r="I14" s="3"/>
      <c r="J14" s="3"/>
      <c r="K14" s="3"/>
      <c r="L14" s="3"/>
      <c r="M14" s="3"/>
      <c r="N14" s="3"/>
      <c r="O14" s="3"/>
      <c r="P14" s="3"/>
      <c r="Q14" s="3"/>
      <c r="R14" s="3"/>
      <c r="S14" s="3"/>
    </row>
    <row r="15" spans="1:19" x14ac:dyDescent="0.15">
      <c r="A15" s="3"/>
      <c r="B15" s="3"/>
      <c r="C15" s="3"/>
      <c r="D15" s="3"/>
      <c r="E15" s="3"/>
      <c r="F15" s="3"/>
      <c r="G15" s="3"/>
      <c r="H15" s="3"/>
      <c r="I15" s="3"/>
      <c r="J15" s="3"/>
      <c r="K15" s="3"/>
      <c r="L15" s="3"/>
      <c r="M15" s="3"/>
      <c r="N15" s="3"/>
      <c r="O15" s="3"/>
      <c r="P15" s="3"/>
      <c r="Q15" s="3"/>
      <c r="R15" s="3"/>
      <c r="S15" s="3"/>
    </row>
    <row r="16" spans="1:19" x14ac:dyDescent="0.15">
      <c r="A16" s="3"/>
      <c r="B16" s="3"/>
      <c r="C16" s="4" t="s">
        <v>240</v>
      </c>
      <c r="D16" s="3"/>
      <c r="E16" s="3"/>
      <c r="F16" s="3"/>
      <c r="G16" s="3"/>
      <c r="H16" s="3"/>
      <c r="I16" s="3"/>
      <c r="J16" s="3"/>
      <c r="K16" s="3"/>
      <c r="L16" s="3"/>
      <c r="M16" s="3"/>
      <c r="N16" s="3"/>
      <c r="O16" s="3"/>
      <c r="P16" s="3"/>
      <c r="Q16" s="3"/>
      <c r="R16" s="3"/>
      <c r="S16" s="3"/>
    </row>
    <row r="17" spans="1:19" x14ac:dyDescent="0.15">
      <c r="A17" s="3"/>
      <c r="B17" s="3"/>
      <c r="C17" s="3"/>
      <c r="D17" s="3"/>
      <c r="E17" s="3"/>
      <c r="F17" s="3"/>
      <c r="G17" s="585" t="s">
        <v>241</v>
      </c>
      <c r="H17" s="3"/>
      <c r="I17" s="3"/>
      <c r="J17" s="3"/>
      <c r="K17" s="3"/>
      <c r="L17" s="3"/>
      <c r="M17" s="3"/>
      <c r="N17" s="3"/>
      <c r="O17" s="3"/>
      <c r="P17" s="3"/>
      <c r="Q17" s="3"/>
      <c r="R17" s="3"/>
      <c r="S17" s="3"/>
    </row>
    <row r="18" spans="1:19" x14ac:dyDescent="0.15">
      <c r="A18" s="3"/>
      <c r="B18" s="3"/>
      <c r="C18" s="3"/>
      <c r="D18" s="3"/>
      <c r="E18" s="3"/>
      <c r="F18" s="3"/>
      <c r="G18" s="3"/>
      <c r="H18" s="3"/>
      <c r="I18" s="3"/>
      <c r="J18" s="3"/>
      <c r="K18" s="3"/>
      <c r="L18" s="3"/>
      <c r="M18" s="3"/>
      <c r="N18" s="3"/>
      <c r="O18" s="3"/>
      <c r="P18" s="3"/>
      <c r="Q18" s="3"/>
      <c r="R18" s="3"/>
      <c r="S18" s="3"/>
    </row>
    <row r="19" spans="1:19" x14ac:dyDescent="0.15">
      <c r="A19" s="3"/>
      <c r="B19" s="3"/>
      <c r="C19" s="3"/>
      <c r="D19" s="3"/>
      <c r="E19" s="3"/>
      <c r="F19" s="3"/>
      <c r="G19" s="585" t="s">
        <v>242</v>
      </c>
      <c r="H19" s="3"/>
      <c r="I19" s="3"/>
      <c r="J19" s="3"/>
      <c r="K19" s="3"/>
      <c r="L19" s="3"/>
      <c r="M19" s="3"/>
      <c r="N19" s="3"/>
      <c r="O19" s="3"/>
      <c r="P19" s="3"/>
      <c r="Q19" s="3"/>
      <c r="R19" s="3"/>
      <c r="S19" s="3"/>
    </row>
    <row r="20" spans="1:19" x14ac:dyDescent="0.15">
      <c r="A20" s="3"/>
      <c r="B20" s="3"/>
      <c r="C20" s="3"/>
      <c r="D20" s="3"/>
      <c r="E20" s="3"/>
      <c r="F20" s="3"/>
      <c r="G20" s="585"/>
      <c r="H20" s="3"/>
      <c r="I20" s="3"/>
      <c r="J20" s="3"/>
      <c r="K20" s="3"/>
      <c r="L20" s="3"/>
      <c r="M20" s="3"/>
      <c r="N20" s="3"/>
      <c r="O20" s="3"/>
      <c r="P20" s="3"/>
      <c r="Q20" s="3"/>
      <c r="R20" s="3"/>
      <c r="S20" s="3"/>
    </row>
    <row r="21" spans="1:19" x14ac:dyDescent="0.15">
      <c r="A21" s="3"/>
      <c r="B21" s="3"/>
      <c r="C21" s="3"/>
      <c r="D21" s="3"/>
      <c r="E21" s="3"/>
      <c r="F21" s="3"/>
      <c r="G21" s="3"/>
      <c r="H21" s="3"/>
      <c r="I21" s="3"/>
      <c r="J21" s="3"/>
      <c r="K21" s="3"/>
      <c r="L21" s="3"/>
      <c r="M21" s="3"/>
      <c r="N21" s="3"/>
      <c r="O21" s="3"/>
      <c r="P21" s="3"/>
      <c r="Q21" s="3"/>
      <c r="R21" s="3"/>
      <c r="S21" s="3"/>
    </row>
    <row r="22" spans="1:19" x14ac:dyDescent="0.15">
      <c r="A22" s="3"/>
      <c r="B22" s="3"/>
      <c r="C22" s="4" t="s">
        <v>243</v>
      </c>
      <c r="D22" s="3"/>
      <c r="E22" s="3"/>
      <c r="F22" s="3"/>
      <c r="G22" s="585" t="s">
        <v>354</v>
      </c>
      <c r="H22" s="3"/>
      <c r="I22" s="3"/>
      <c r="J22" s="3"/>
      <c r="K22" s="3"/>
      <c r="L22" s="3"/>
      <c r="M22" s="3"/>
      <c r="N22" s="3"/>
      <c r="O22" s="3"/>
      <c r="P22" s="3"/>
      <c r="Q22" s="3"/>
      <c r="R22" s="3"/>
      <c r="S22" s="3"/>
    </row>
    <row r="23" spans="1:19" x14ac:dyDescent="0.15">
      <c r="A23" s="3"/>
      <c r="B23" s="3"/>
      <c r="C23" s="3"/>
      <c r="D23" s="3"/>
      <c r="E23" s="3"/>
      <c r="F23" s="3"/>
      <c r="G23" s="3"/>
      <c r="H23" s="3"/>
      <c r="I23" s="3"/>
      <c r="J23" s="3"/>
      <c r="K23" s="3"/>
      <c r="L23" s="3"/>
      <c r="M23" s="3"/>
      <c r="N23" s="3"/>
      <c r="O23" s="3"/>
      <c r="P23" s="3"/>
      <c r="Q23" s="3"/>
      <c r="R23" s="3"/>
      <c r="S23" s="3"/>
    </row>
    <row r="24" spans="1:19" x14ac:dyDescent="0.15">
      <c r="A24" s="3"/>
      <c r="B24" s="3"/>
      <c r="C24" s="4" t="s">
        <v>352</v>
      </c>
      <c r="D24" s="3"/>
      <c r="E24" s="3"/>
      <c r="F24" s="3"/>
      <c r="G24" s="585" t="s">
        <v>353</v>
      </c>
      <c r="H24" s="3"/>
      <c r="I24" s="3"/>
      <c r="J24" s="3"/>
      <c r="K24" s="3"/>
      <c r="L24" s="3"/>
      <c r="M24" s="3"/>
      <c r="N24" s="3"/>
      <c r="O24" s="3"/>
      <c r="P24" s="3"/>
      <c r="Q24" s="3"/>
      <c r="R24" s="3"/>
      <c r="S24" s="3"/>
    </row>
    <row r="25" spans="1:19" x14ac:dyDescent="0.15">
      <c r="A25" s="3"/>
      <c r="B25" s="3"/>
      <c r="C25" s="3"/>
      <c r="D25" s="3"/>
      <c r="E25" s="3"/>
      <c r="F25" s="3"/>
      <c r="G25" s="3"/>
      <c r="H25" s="3"/>
      <c r="I25" s="3"/>
      <c r="J25" s="3"/>
      <c r="K25" s="3"/>
      <c r="L25" s="3"/>
      <c r="M25" s="3"/>
      <c r="N25" s="3"/>
      <c r="O25" s="3"/>
      <c r="P25" s="3"/>
      <c r="Q25" s="3"/>
      <c r="R25" s="3"/>
      <c r="S25" s="3"/>
    </row>
    <row r="26" spans="1:19" x14ac:dyDescent="0.15">
      <c r="A26" s="3"/>
      <c r="B26" s="3"/>
      <c r="C26" s="3"/>
      <c r="D26" s="3"/>
      <c r="E26" s="3"/>
      <c r="F26" s="3"/>
      <c r="G26" s="3"/>
      <c r="H26" s="3"/>
      <c r="I26" s="3"/>
      <c r="J26" s="3"/>
      <c r="K26" s="3"/>
      <c r="L26" s="3"/>
      <c r="M26" s="3"/>
      <c r="N26" s="3"/>
      <c r="O26" s="3"/>
      <c r="P26" s="3"/>
      <c r="Q26" s="3"/>
      <c r="R26" s="3"/>
      <c r="S26" s="3"/>
    </row>
    <row r="27" spans="1:19" x14ac:dyDescent="0.15">
      <c r="A27" s="3"/>
      <c r="B27" s="3"/>
      <c r="C27" s="3"/>
      <c r="D27" s="3"/>
      <c r="E27" s="3"/>
      <c r="F27" s="3"/>
      <c r="G27" s="3"/>
      <c r="H27" s="3"/>
      <c r="I27" s="3"/>
      <c r="J27" s="3"/>
      <c r="K27" s="3"/>
      <c r="L27" s="3"/>
      <c r="M27" s="3"/>
      <c r="N27" s="3"/>
      <c r="O27" s="3"/>
      <c r="P27" s="3"/>
      <c r="Q27" s="3"/>
      <c r="R27" s="3"/>
      <c r="S27" s="3"/>
    </row>
    <row r="28" spans="1:19" x14ac:dyDescent="0.15">
      <c r="A28" s="3"/>
      <c r="B28" s="245" t="s">
        <v>244</v>
      </c>
      <c r="C28" s="246"/>
      <c r="D28" s="3"/>
      <c r="E28" s="900" t="s">
        <v>891</v>
      </c>
      <c r="F28" s="117" t="s">
        <v>890</v>
      </c>
      <c r="G28" s="118"/>
      <c r="H28" s="3"/>
      <c r="I28" s="3"/>
      <c r="J28" s="3"/>
      <c r="K28" s="3"/>
      <c r="L28" s="3"/>
      <c r="M28" s="3"/>
      <c r="N28" s="3"/>
      <c r="O28" s="3"/>
      <c r="P28" s="3"/>
      <c r="Q28" s="3"/>
      <c r="R28" s="3"/>
      <c r="S28" s="3"/>
    </row>
    <row r="29" spans="1:19" x14ac:dyDescent="0.15">
      <c r="A29" s="3"/>
      <c r="B29" s="3"/>
      <c r="C29" s="3"/>
      <c r="D29" s="3"/>
      <c r="E29" s="3"/>
      <c r="F29" s="3"/>
      <c r="G29" s="3"/>
      <c r="H29" s="3"/>
      <c r="I29" s="3"/>
      <c r="J29" s="3"/>
      <c r="K29" s="3"/>
      <c r="L29" s="3"/>
      <c r="M29" s="3"/>
      <c r="N29" s="3"/>
      <c r="O29" s="3"/>
      <c r="P29" s="3"/>
      <c r="Q29" s="3"/>
      <c r="R29" s="3"/>
      <c r="S29" s="3"/>
    </row>
    <row r="30" spans="1:19" ht="14" thickBot="1" x14ac:dyDescent="0.2">
      <c r="A30" s="3"/>
      <c r="B30" s="3"/>
      <c r="C30" s="3"/>
      <c r="D30" s="3"/>
      <c r="E30" s="3"/>
      <c r="F30" s="3"/>
      <c r="G30" s="3"/>
      <c r="H30" s="3"/>
      <c r="I30" s="3"/>
      <c r="J30" s="3"/>
      <c r="K30" s="3"/>
      <c r="L30" s="3"/>
      <c r="M30" s="3"/>
      <c r="N30" s="3"/>
      <c r="O30" s="3"/>
      <c r="P30" s="3"/>
      <c r="Q30" s="3"/>
      <c r="R30" s="3"/>
      <c r="S30" s="3"/>
    </row>
    <row r="31" spans="1:19" x14ac:dyDescent="0.15">
      <c r="A31" s="3"/>
      <c r="B31" s="584" t="s">
        <v>266</v>
      </c>
      <c r="C31" s="562"/>
      <c r="D31" s="562"/>
      <c r="E31" s="562"/>
      <c r="F31" s="562"/>
      <c r="G31" s="562"/>
      <c r="H31" s="562"/>
      <c r="I31" s="562"/>
      <c r="J31" s="562"/>
      <c r="K31" s="562"/>
      <c r="L31" s="562"/>
      <c r="M31" s="563"/>
      <c r="N31" s="3"/>
      <c r="O31" s="3"/>
      <c r="P31" s="3"/>
      <c r="Q31" s="3"/>
      <c r="R31" s="3"/>
      <c r="S31" s="3"/>
    </row>
    <row r="32" spans="1:19" x14ac:dyDescent="0.15">
      <c r="A32" s="3"/>
      <c r="B32" s="564"/>
      <c r="C32" s="137" t="s">
        <v>957</v>
      </c>
      <c r="D32" s="137"/>
      <c r="E32" s="137"/>
      <c r="F32" s="137"/>
      <c r="G32" s="137"/>
      <c r="H32" s="137"/>
      <c r="I32" s="137"/>
      <c r="J32" s="137"/>
      <c r="K32" s="137"/>
      <c r="L32" s="137"/>
      <c r="M32" s="139"/>
      <c r="N32" s="3"/>
      <c r="O32" s="3"/>
      <c r="P32" s="3"/>
      <c r="Q32" s="3"/>
      <c r="R32" s="3"/>
      <c r="S32" s="3"/>
    </row>
    <row r="33" spans="1:19" x14ac:dyDescent="0.15">
      <c r="A33" s="3"/>
      <c r="B33" s="564"/>
      <c r="C33" s="137" t="s">
        <v>254</v>
      </c>
      <c r="D33" s="137"/>
      <c r="E33" s="137"/>
      <c r="F33" s="137"/>
      <c r="G33" s="137"/>
      <c r="H33" s="137"/>
      <c r="I33" s="137"/>
      <c r="J33" s="137"/>
      <c r="K33" s="137"/>
      <c r="L33" s="137"/>
      <c r="M33" s="139"/>
      <c r="N33" s="3"/>
      <c r="O33" s="3"/>
      <c r="P33" s="3"/>
      <c r="Q33" s="3"/>
      <c r="R33" s="3"/>
      <c r="S33" s="3"/>
    </row>
    <row r="34" spans="1:19" ht="14" thickBot="1" x14ac:dyDescent="0.2">
      <c r="A34" s="3"/>
      <c r="B34" s="565"/>
      <c r="C34" s="142" t="s">
        <v>325</v>
      </c>
      <c r="D34" s="142"/>
      <c r="E34" s="142"/>
      <c r="F34" s="142"/>
      <c r="G34" s="142"/>
      <c r="H34" s="142"/>
      <c r="I34" s="142"/>
      <c r="J34" s="142"/>
      <c r="K34" s="142"/>
      <c r="L34" s="142"/>
      <c r="M34" s="149"/>
      <c r="N34" s="3"/>
      <c r="O34" s="3"/>
      <c r="P34" s="3"/>
      <c r="Q34" s="3"/>
      <c r="R34" s="3"/>
      <c r="S34" s="3"/>
    </row>
    <row r="35" spans="1:19" x14ac:dyDescent="0.15">
      <c r="A35" s="3"/>
      <c r="B35" s="579" t="s">
        <v>251</v>
      </c>
      <c r="C35" s="580" t="s">
        <v>250</v>
      </c>
      <c r="D35" s="581"/>
      <c r="E35" s="582" t="s">
        <v>245</v>
      </c>
      <c r="F35" s="581"/>
      <c r="G35" s="581"/>
      <c r="H35" s="580" t="s">
        <v>246</v>
      </c>
      <c r="I35" s="583"/>
      <c r="J35" s="307"/>
      <c r="K35" s="295"/>
      <c r="L35" s="295"/>
      <c r="M35" s="309"/>
      <c r="N35" s="3"/>
      <c r="O35" s="3"/>
      <c r="P35" s="3"/>
      <c r="Q35" s="3"/>
      <c r="R35" s="3"/>
      <c r="S35" s="3"/>
    </row>
    <row r="36" spans="1:19" x14ac:dyDescent="0.15">
      <c r="A36" s="3"/>
      <c r="B36" s="574">
        <v>1</v>
      </c>
      <c r="C36" s="566">
        <v>10</v>
      </c>
      <c r="D36" s="566" t="s">
        <v>551</v>
      </c>
      <c r="E36" s="568">
        <v>12</v>
      </c>
      <c r="F36" s="566" t="s">
        <v>247</v>
      </c>
      <c r="G36" s="566"/>
      <c r="H36" s="569">
        <f>E36/100</f>
        <v>0.12</v>
      </c>
      <c r="I36" s="567" t="s">
        <v>249</v>
      </c>
      <c r="J36" s="307"/>
      <c r="K36" s="295" t="s">
        <v>512</v>
      </c>
      <c r="L36" s="295"/>
      <c r="M36" s="309"/>
      <c r="N36" s="3"/>
      <c r="O36" s="3"/>
      <c r="P36" s="3"/>
      <c r="Q36" s="3"/>
      <c r="R36" s="3"/>
      <c r="S36" s="3"/>
    </row>
    <row r="37" spans="1:19" x14ac:dyDescent="0.15">
      <c r="A37" s="3"/>
      <c r="B37" s="574">
        <v>2</v>
      </c>
      <c r="C37" s="24">
        <v>30</v>
      </c>
      <c r="D37" s="24" t="s">
        <v>551</v>
      </c>
      <c r="E37" s="568">
        <v>17</v>
      </c>
      <c r="F37" s="566" t="s">
        <v>247</v>
      </c>
      <c r="G37" s="566" t="s">
        <v>512</v>
      </c>
      <c r="H37" s="569">
        <f t="shared" ref="H37:H47" si="0">E37/100</f>
        <v>0.17</v>
      </c>
      <c r="I37" s="567" t="s">
        <v>249</v>
      </c>
      <c r="J37" s="307"/>
      <c r="K37" s="295" t="s">
        <v>251</v>
      </c>
      <c r="L37" s="262">
        <v>8</v>
      </c>
      <c r="M37" s="309"/>
      <c r="N37" s="3"/>
      <c r="O37" s="3"/>
      <c r="P37" s="3"/>
      <c r="Q37" s="3"/>
      <c r="R37" s="3"/>
      <c r="S37" s="3"/>
    </row>
    <row r="38" spans="1:19" x14ac:dyDescent="0.15">
      <c r="A38" s="3"/>
      <c r="B38" s="574">
        <v>3</v>
      </c>
      <c r="C38" s="566">
        <v>50</v>
      </c>
      <c r="D38" s="566" t="s">
        <v>551</v>
      </c>
      <c r="E38" s="568" t="s">
        <v>248</v>
      </c>
      <c r="F38" s="566" t="s">
        <v>247</v>
      </c>
      <c r="G38" s="566"/>
      <c r="H38" s="569" t="s">
        <v>248</v>
      </c>
      <c r="I38" s="567" t="s">
        <v>249</v>
      </c>
      <c r="J38" s="307"/>
      <c r="K38" s="295"/>
      <c r="L38" s="295"/>
      <c r="M38" s="309"/>
      <c r="N38" s="3"/>
      <c r="O38" s="3"/>
      <c r="P38" s="3"/>
      <c r="Q38" s="3"/>
      <c r="R38" s="3"/>
      <c r="S38" s="3"/>
    </row>
    <row r="39" spans="1:19" x14ac:dyDescent="0.15">
      <c r="A39" s="3"/>
      <c r="B39" s="574">
        <v>4</v>
      </c>
      <c r="C39" s="566">
        <v>100</v>
      </c>
      <c r="D39" s="566" t="s">
        <v>551</v>
      </c>
      <c r="E39" s="568">
        <v>28</v>
      </c>
      <c r="F39" s="566" t="s">
        <v>247</v>
      </c>
      <c r="G39" s="566"/>
      <c r="H39" s="569">
        <f t="shared" si="0"/>
        <v>0.28000000000000003</v>
      </c>
      <c r="I39" s="567" t="s">
        <v>249</v>
      </c>
      <c r="J39" s="307"/>
      <c r="K39" s="295" t="s">
        <v>550</v>
      </c>
      <c r="L39" s="576">
        <f>INDEX(C36:C48,L37,1)</f>
        <v>435</v>
      </c>
      <c r="M39" s="309"/>
      <c r="N39" s="3"/>
      <c r="O39" s="3"/>
      <c r="P39" s="3"/>
      <c r="Q39" s="3"/>
      <c r="R39" s="3"/>
      <c r="S39" s="3"/>
    </row>
    <row r="40" spans="1:19" x14ac:dyDescent="0.15">
      <c r="A40" s="3"/>
      <c r="B40" s="574">
        <v>5</v>
      </c>
      <c r="C40" s="24">
        <v>145</v>
      </c>
      <c r="D40" s="24" t="s">
        <v>551</v>
      </c>
      <c r="E40" s="568">
        <v>32</v>
      </c>
      <c r="F40" s="566" t="s">
        <v>247</v>
      </c>
      <c r="G40" s="566"/>
      <c r="H40" s="569">
        <f t="shared" si="0"/>
        <v>0.32</v>
      </c>
      <c r="I40" s="567" t="s">
        <v>249</v>
      </c>
      <c r="J40" s="307"/>
      <c r="K40" s="295"/>
      <c r="L40" s="295"/>
      <c r="M40" s="309"/>
      <c r="N40" s="3"/>
      <c r="O40" s="3"/>
      <c r="P40" s="3"/>
      <c r="Q40" s="3"/>
      <c r="R40" s="3"/>
      <c r="S40" s="3"/>
    </row>
    <row r="41" spans="1:19" x14ac:dyDescent="0.15">
      <c r="A41" s="3"/>
      <c r="B41" s="574">
        <v>6</v>
      </c>
      <c r="C41" s="566">
        <v>200</v>
      </c>
      <c r="D41" s="566" t="s">
        <v>551</v>
      </c>
      <c r="E41" s="568">
        <v>40</v>
      </c>
      <c r="F41" s="566" t="s">
        <v>247</v>
      </c>
      <c r="G41" s="566" t="s">
        <v>512</v>
      </c>
      <c r="H41" s="569">
        <f t="shared" si="0"/>
        <v>0.4</v>
      </c>
      <c r="I41" s="567" t="s">
        <v>249</v>
      </c>
      <c r="J41" s="307"/>
      <c r="K41" s="295" t="s">
        <v>252</v>
      </c>
      <c r="L41" s="577">
        <v>0.25</v>
      </c>
      <c r="M41" s="309"/>
      <c r="N41" s="3"/>
      <c r="O41" s="3"/>
      <c r="P41" s="3"/>
      <c r="Q41" s="3"/>
      <c r="R41" s="3"/>
      <c r="S41" s="3"/>
    </row>
    <row r="42" spans="1:19" x14ac:dyDescent="0.15">
      <c r="A42" s="3"/>
      <c r="B42" s="574">
        <v>7</v>
      </c>
      <c r="C42" s="566">
        <v>400</v>
      </c>
      <c r="D42" s="566" t="s">
        <v>551</v>
      </c>
      <c r="E42" s="568" t="s">
        <v>248</v>
      </c>
      <c r="F42" s="566" t="s">
        <v>247</v>
      </c>
      <c r="G42" s="566"/>
      <c r="H42" s="569" t="s">
        <v>248</v>
      </c>
      <c r="I42" s="567" t="s">
        <v>249</v>
      </c>
      <c r="J42" s="307"/>
      <c r="K42" s="295"/>
      <c r="L42" s="295"/>
      <c r="M42" s="309"/>
      <c r="N42" s="3"/>
      <c r="O42" s="3"/>
      <c r="P42" s="3"/>
      <c r="Q42" s="3"/>
      <c r="R42" s="3"/>
      <c r="S42" s="3"/>
    </row>
    <row r="43" spans="1:19" x14ac:dyDescent="0.15">
      <c r="A43" s="3"/>
      <c r="B43" s="574">
        <v>8</v>
      </c>
      <c r="C43" s="24">
        <v>435</v>
      </c>
      <c r="D43" s="24" t="s">
        <v>551</v>
      </c>
      <c r="E43" s="568">
        <v>58</v>
      </c>
      <c r="F43" s="566" t="s">
        <v>247</v>
      </c>
      <c r="G43" s="566"/>
      <c r="H43" s="569">
        <f t="shared" si="0"/>
        <v>0.57999999999999996</v>
      </c>
      <c r="I43" s="567" t="s">
        <v>249</v>
      </c>
      <c r="J43" s="307"/>
      <c r="K43" s="295" t="s">
        <v>253</v>
      </c>
      <c r="L43" s="578">
        <f>(INDEX(H36:H48,L37,1))*L41</f>
        <v>0.14499999999999999</v>
      </c>
      <c r="M43" s="309"/>
      <c r="N43" s="3"/>
      <c r="O43" s="3"/>
      <c r="P43" s="3"/>
      <c r="Q43" s="3"/>
      <c r="R43" s="3"/>
      <c r="S43" s="3"/>
    </row>
    <row r="44" spans="1:19" x14ac:dyDescent="0.15">
      <c r="A44" s="3"/>
      <c r="B44" s="574">
        <v>9</v>
      </c>
      <c r="C44" s="566">
        <v>500</v>
      </c>
      <c r="D44" s="566" t="s">
        <v>551</v>
      </c>
      <c r="E44" s="568">
        <v>68</v>
      </c>
      <c r="F44" s="566" t="s">
        <v>247</v>
      </c>
      <c r="G44" s="566"/>
      <c r="H44" s="569">
        <f t="shared" si="0"/>
        <v>0.68</v>
      </c>
      <c r="I44" s="567" t="s">
        <v>249</v>
      </c>
      <c r="J44" s="307"/>
      <c r="K44" s="295"/>
      <c r="L44" s="295"/>
      <c r="M44" s="309"/>
      <c r="N44" s="3"/>
      <c r="O44" s="3"/>
      <c r="P44" s="3"/>
      <c r="Q44" s="3"/>
      <c r="R44" s="3"/>
      <c r="S44" s="3"/>
    </row>
    <row r="45" spans="1:19" x14ac:dyDescent="0.15">
      <c r="A45" s="3"/>
      <c r="B45" s="574">
        <v>10</v>
      </c>
      <c r="C45" s="24">
        <v>1270</v>
      </c>
      <c r="D45" s="24" t="s">
        <v>551</v>
      </c>
      <c r="E45" s="568">
        <v>113</v>
      </c>
      <c r="F45" s="566" t="s">
        <v>247</v>
      </c>
      <c r="G45" s="566"/>
      <c r="H45" s="569">
        <f t="shared" si="0"/>
        <v>1.1299999999999999</v>
      </c>
      <c r="I45" s="567" t="s">
        <v>249</v>
      </c>
      <c r="J45" s="307"/>
      <c r="K45" s="295"/>
      <c r="L45" s="295"/>
      <c r="M45" s="309"/>
      <c r="N45" s="3"/>
      <c r="O45" s="3"/>
      <c r="P45" s="3"/>
      <c r="Q45" s="3"/>
      <c r="R45" s="3"/>
      <c r="S45" s="3"/>
    </row>
    <row r="46" spans="1:19" x14ac:dyDescent="0.15">
      <c r="A46" s="3"/>
      <c r="B46" s="574">
        <v>11</v>
      </c>
      <c r="C46" s="24">
        <v>2400</v>
      </c>
      <c r="D46" s="24" t="s">
        <v>551</v>
      </c>
      <c r="E46" s="568">
        <v>165</v>
      </c>
      <c r="F46" s="566" t="s">
        <v>247</v>
      </c>
      <c r="G46" s="566"/>
      <c r="H46" s="569">
        <f t="shared" si="0"/>
        <v>1.65</v>
      </c>
      <c r="I46" s="567" t="s">
        <v>249</v>
      </c>
      <c r="J46" s="307"/>
      <c r="K46" s="295"/>
      <c r="L46" s="351" t="s">
        <v>868</v>
      </c>
      <c r="M46" s="309"/>
      <c r="N46" s="3"/>
      <c r="O46" s="3"/>
      <c r="P46" s="3"/>
      <c r="Q46" s="3"/>
      <c r="R46" s="3"/>
      <c r="S46" s="3"/>
    </row>
    <row r="47" spans="1:19" x14ac:dyDescent="0.15">
      <c r="A47" s="3"/>
      <c r="B47" s="574">
        <v>12</v>
      </c>
      <c r="C47" s="566">
        <v>3300</v>
      </c>
      <c r="D47" s="566" t="s">
        <v>551</v>
      </c>
      <c r="E47" s="568">
        <v>268</v>
      </c>
      <c r="F47" s="566" t="s">
        <v>247</v>
      </c>
      <c r="G47" s="566"/>
      <c r="H47" s="569">
        <f t="shared" si="0"/>
        <v>2.68</v>
      </c>
      <c r="I47" s="567" t="s">
        <v>249</v>
      </c>
      <c r="J47" s="307"/>
      <c r="K47" s="295"/>
      <c r="L47" s="295"/>
      <c r="M47" s="309"/>
      <c r="N47" s="3"/>
      <c r="O47" s="3"/>
      <c r="P47" s="3"/>
      <c r="Q47" s="3"/>
      <c r="R47" s="3"/>
      <c r="S47" s="3"/>
    </row>
    <row r="48" spans="1:19" ht="14" thickBot="1" x14ac:dyDescent="0.2">
      <c r="A48" s="3"/>
      <c r="B48" s="575">
        <v>13</v>
      </c>
      <c r="C48" s="570">
        <v>5000</v>
      </c>
      <c r="D48" s="570" t="s">
        <v>551</v>
      </c>
      <c r="E48" s="571" t="s">
        <v>248</v>
      </c>
      <c r="F48" s="570" t="s">
        <v>247</v>
      </c>
      <c r="G48" s="570"/>
      <c r="H48" s="572" t="s">
        <v>248</v>
      </c>
      <c r="I48" s="573" t="s">
        <v>249</v>
      </c>
      <c r="J48" s="310" t="s">
        <v>328</v>
      </c>
      <c r="K48" s="311"/>
      <c r="L48" s="311"/>
      <c r="M48" s="312"/>
      <c r="N48" s="3"/>
      <c r="O48" s="3"/>
      <c r="P48" s="3"/>
      <c r="Q48" s="3"/>
      <c r="R48" s="3"/>
      <c r="S48" s="3"/>
    </row>
    <row r="49" spans="1:19" x14ac:dyDescent="0.15">
      <c r="A49" s="3"/>
      <c r="B49" s="3"/>
      <c r="C49" s="3"/>
      <c r="D49" s="3"/>
      <c r="E49" s="3"/>
      <c r="F49" s="3"/>
      <c r="G49" s="3"/>
      <c r="H49" s="3"/>
      <c r="I49" s="3"/>
      <c r="J49" s="3"/>
      <c r="K49" s="3"/>
      <c r="L49" s="3"/>
      <c r="M49" s="3"/>
      <c r="N49" s="3"/>
      <c r="O49" s="3"/>
      <c r="P49" s="3"/>
      <c r="Q49" s="3"/>
      <c r="R49" s="3"/>
      <c r="S49" s="3"/>
    </row>
    <row r="50" spans="1:19" x14ac:dyDescent="0.15">
      <c r="A50" s="3"/>
      <c r="B50" s="3"/>
      <c r="C50" s="3"/>
      <c r="D50" s="3"/>
      <c r="E50" s="3"/>
      <c r="F50" s="3"/>
      <c r="G50" s="3"/>
      <c r="H50" s="3"/>
      <c r="I50" s="3"/>
      <c r="J50" s="3"/>
      <c r="K50" s="3"/>
      <c r="L50" s="3" t="s">
        <v>512</v>
      </c>
      <c r="M50" s="3"/>
      <c r="N50" s="3"/>
      <c r="O50" s="3"/>
      <c r="P50" s="3"/>
      <c r="Q50" s="3"/>
      <c r="R50" s="3"/>
      <c r="S50" s="3"/>
    </row>
    <row r="51" spans="1:19" ht="14" thickBot="1" x14ac:dyDescent="0.2">
      <c r="A51" s="3"/>
      <c r="B51" s="3"/>
      <c r="C51" s="3"/>
      <c r="D51" s="3"/>
      <c r="E51" s="3"/>
      <c r="F51" s="3"/>
      <c r="G51" s="3"/>
      <c r="H51" s="3"/>
      <c r="I51" s="3"/>
      <c r="J51" s="3"/>
      <c r="K51" s="3"/>
      <c r="L51" s="3"/>
      <c r="M51" s="3"/>
      <c r="N51" s="3"/>
      <c r="O51" s="3"/>
      <c r="P51" s="3"/>
      <c r="Q51" s="3"/>
      <c r="R51" s="3"/>
      <c r="S51" s="3"/>
    </row>
    <row r="52" spans="1:19" x14ac:dyDescent="0.15">
      <c r="A52" s="3"/>
      <c r="B52" s="584" t="s">
        <v>329</v>
      </c>
      <c r="C52" s="562"/>
      <c r="D52" s="562"/>
      <c r="E52" s="562"/>
      <c r="F52" s="562"/>
      <c r="G52" s="562"/>
      <c r="H52" s="562"/>
      <c r="I52" s="562"/>
      <c r="J52" s="562"/>
      <c r="K52" s="562"/>
      <c r="L52" s="562"/>
      <c r="M52" s="563"/>
      <c r="N52" s="3"/>
      <c r="O52" s="3"/>
      <c r="P52" s="3"/>
      <c r="Q52" s="3"/>
      <c r="R52" s="3"/>
      <c r="S52" s="3"/>
    </row>
    <row r="53" spans="1:19" x14ac:dyDescent="0.15">
      <c r="A53" s="3"/>
      <c r="B53" s="564"/>
      <c r="C53" s="137" t="s">
        <v>269</v>
      </c>
      <c r="D53" s="137"/>
      <c r="E53" s="137"/>
      <c r="F53" s="137"/>
      <c r="G53" s="137"/>
      <c r="H53" s="137"/>
      <c r="I53" s="137"/>
      <c r="J53" s="137"/>
      <c r="K53" s="137"/>
      <c r="L53" s="137"/>
      <c r="M53" s="139"/>
      <c r="N53" s="3"/>
      <c r="O53" s="3"/>
      <c r="P53" s="3"/>
      <c r="Q53" s="3"/>
      <c r="R53" s="3"/>
      <c r="S53" s="3"/>
    </row>
    <row r="54" spans="1:19" x14ac:dyDescent="0.15">
      <c r="A54" s="3"/>
      <c r="B54" s="564"/>
      <c r="C54" s="137" t="s">
        <v>323</v>
      </c>
      <c r="D54" s="137"/>
      <c r="E54" s="137"/>
      <c r="F54" s="137"/>
      <c r="G54" s="137"/>
      <c r="H54" s="137"/>
      <c r="I54" s="137"/>
      <c r="J54" s="137"/>
      <c r="K54" s="137"/>
      <c r="L54" s="137"/>
      <c r="M54" s="139"/>
      <c r="N54" s="3"/>
      <c r="O54" s="3"/>
      <c r="P54" s="3"/>
      <c r="Q54" s="3"/>
      <c r="R54" s="3"/>
      <c r="S54" s="3"/>
    </row>
    <row r="55" spans="1:19" ht="14" thickBot="1" x14ac:dyDescent="0.2">
      <c r="A55" s="3"/>
      <c r="B55" s="565"/>
      <c r="C55" s="142" t="s">
        <v>326</v>
      </c>
      <c r="D55" s="142"/>
      <c r="E55" s="142"/>
      <c r="F55" s="142"/>
      <c r="G55" s="142"/>
      <c r="H55" s="142"/>
      <c r="I55" s="142"/>
      <c r="J55" s="142"/>
      <c r="K55" s="142"/>
      <c r="L55" s="142"/>
      <c r="M55" s="149"/>
      <c r="N55" s="3"/>
      <c r="O55" s="3"/>
      <c r="P55" s="3"/>
      <c r="Q55" s="3"/>
      <c r="R55" s="3"/>
      <c r="S55" s="3"/>
    </row>
    <row r="56" spans="1:19" x14ac:dyDescent="0.15">
      <c r="A56" s="3"/>
      <c r="B56" s="579" t="s">
        <v>251</v>
      </c>
      <c r="C56" s="580" t="s">
        <v>250</v>
      </c>
      <c r="D56" s="581"/>
      <c r="E56" s="582" t="s">
        <v>245</v>
      </c>
      <c r="F56" s="581"/>
      <c r="G56" s="581"/>
      <c r="H56" s="580" t="s">
        <v>246</v>
      </c>
      <c r="I56" s="583"/>
      <c r="J56" s="307"/>
      <c r="K56" s="295"/>
      <c r="L56" s="295"/>
      <c r="M56" s="309"/>
      <c r="N56" s="3"/>
      <c r="O56" s="3"/>
      <c r="P56" s="3"/>
      <c r="Q56" s="3"/>
      <c r="R56" s="3"/>
      <c r="S56" s="3"/>
    </row>
    <row r="57" spans="1:19" x14ac:dyDescent="0.15">
      <c r="A57" s="3"/>
      <c r="B57" s="574">
        <v>1</v>
      </c>
      <c r="C57" s="566">
        <v>10</v>
      </c>
      <c r="D57" s="566" t="s">
        <v>551</v>
      </c>
      <c r="E57" s="568">
        <v>7</v>
      </c>
      <c r="F57" s="566" t="s">
        <v>247</v>
      </c>
      <c r="G57" s="566"/>
      <c r="H57" s="569">
        <f>E57/100</f>
        <v>7.0000000000000007E-2</v>
      </c>
      <c r="I57" s="567" t="s">
        <v>249</v>
      </c>
      <c r="J57" s="307"/>
      <c r="K57" s="295" t="s">
        <v>512</v>
      </c>
      <c r="L57" s="295"/>
      <c r="M57" s="309"/>
      <c r="N57" s="3"/>
      <c r="O57" s="3"/>
      <c r="P57" s="3"/>
      <c r="Q57" s="3"/>
      <c r="R57" s="3"/>
      <c r="S57" s="3"/>
    </row>
    <row r="58" spans="1:19" x14ac:dyDescent="0.15">
      <c r="A58" s="3"/>
      <c r="B58" s="574">
        <v>2</v>
      </c>
      <c r="C58" s="24">
        <v>30</v>
      </c>
      <c r="D58" s="24" t="s">
        <v>551</v>
      </c>
      <c r="E58" s="568">
        <v>9</v>
      </c>
      <c r="F58" s="566" t="s">
        <v>247</v>
      </c>
      <c r="G58" s="566" t="s">
        <v>512</v>
      </c>
      <c r="H58" s="569">
        <f>E58/100</f>
        <v>0.09</v>
      </c>
      <c r="I58" s="567" t="s">
        <v>249</v>
      </c>
      <c r="J58" s="307"/>
      <c r="K58" s="295" t="s">
        <v>251</v>
      </c>
      <c r="L58" s="262">
        <v>5</v>
      </c>
      <c r="M58" s="309"/>
      <c r="N58" s="3"/>
      <c r="O58" s="3"/>
      <c r="P58" s="3"/>
      <c r="Q58" s="3"/>
      <c r="R58" s="3"/>
      <c r="S58" s="3"/>
    </row>
    <row r="59" spans="1:19" x14ac:dyDescent="0.15">
      <c r="A59" s="3"/>
      <c r="B59" s="574">
        <v>3</v>
      </c>
      <c r="C59" s="566">
        <v>50</v>
      </c>
      <c r="D59" s="566" t="s">
        <v>551</v>
      </c>
      <c r="E59" s="568" t="s">
        <v>248</v>
      </c>
      <c r="F59" s="566" t="s">
        <v>247</v>
      </c>
      <c r="G59" s="566"/>
      <c r="H59" s="569" t="s">
        <v>248</v>
      </c>
      <c r="I59" s="567" t="s">
        <v>249</v>
      </c>
      <c r="J59" s="307"/>
      <c r="K59" s="295"/>
      <c r="L59" s="295"/>
      <c r="M59" s="309"/>
      <c r="N59" s="3"/>
      <c r="O59" s="3"/>
      <c r="P59" s="3"/>
      <c r="Q59" s="3"/>
      <c r="R59" s="3"/>
      <c r="S59" s="3"/>
    </row>
    <row r="60" spans="1:19" x14ac:dyDescent="0.15">
      <c r="A60" s="3"/>
      <c r="B60" s="574">
        <v>4</v>
      </c>
      <c r="C60" s="566">
        <v>100</v>
      </c>
      <c r="D60" s="566" t="s">
        <v>551</v>
      </c>
      <c r="E60" s="568">
        <v>14</v>
      </c>
      <c r="F60" s="566" t="s">
        <v>247</v>
      </c>
      <c r="G60" s="566"/>
      <c r="H60" s="569">
        <f t="shared" ref="H60:H69" si="1">E60/100</f>
        <v>0.14000000000000001</v>
      </c>
      <c r="I60" s="567" t="s">
        <v>249</v>
      </c>
      <c r="J60" s="307"/>
      <c r="K60" s="295" t="s">
        <v>550</v>
      </c>
      <c r="L60" s="576">
        <f>INDEX(C57:C69,L58,1)</f>
        <v>145</v>
      </c>
      <c r="M60" s="309"/>
      <c r="N60" s="3"/>
      <c r="O60" s="3"/>
      <c r="P60" s="3"/>
      <c r="Q60" s="3"/>
      <c r="R60" s="3"/>
      <c r="S60" s="3"/>
    </row>
    <row r="61" spans="1:19" x14ac:dyDescent="0.15">
      <c r="A61" s="3"/>
      <c r="B61" s="574">
        <v>5</v>
      </c>
      <c r="C61" s="24">
        <v>145</v>
      </c>
      <c r="D61" s="24" t="s">
        <v>551</v>
      </c>
      <c r="E61" s="568">
        <v>15</v>
      </c>
      <c r="F61" s="566" t="s">
        <v>247</v>
      </c>
      <c r="G61" s="566"/>
      <c r="H61" s="569">
        <f t="shared" si="1"/>
        <v>0.15</v>
      </c>
      <c r="I61" s="567" t="s">
        <v>249</v>
      </c>
      <c r="J61" s="307"/>
      <c r="K61" s="295"/>
      <c r="L61" s="295"/>
      <c r="M61" s="309"/>
      <c r="N61" s="3"/>
      <c r="O61" s="3"/>
      <c r="P61" s="3"/>
      <c r="Q61" s="3"/>
      <c r="R61" s="3"/>
      <c r="S61" s="3"/>
    </row>
    <row r="62" spans="1:19" x14ac:dyDescent="0.15">
      <c r="A62" s="3"/>
      <c r="B62" s="574">
        <v>6</v>
      </c>
      <c r="C62" s="566">
        <v>200</v>
      </c>
      <c r="D62" s="566" t="s">
        <v>551</v>
      </c>
      <c r="E62" s="568">
        <v>20</v>
      </c>
      <c r="F62" s="566" t="s">
        <v>247</v>
      </c>
      <c r="G62" s="566" t="s">
        <v>512</v>
      </c>
      <c r="H62" s="569">
        <f t="shared" si="1"/>
        <v>0.2</v>
      </c>
      <c r="I62" s="567" t="s">
        <v>249</v>
      </c>
      <c r="J62" s="307"/>
      <c r="K62" s="295" t="s">
        <v>252</v>
      </c>
      <c r="L62" s="577">
        <v>0.75</v>
      </c>
      <c r="M62" s="309"/>
      <c r="N62" s="3"/>
      <c r="O62" s="3"/>
      <c r="P62" s="3"/>
      <c r="Q62" s="3"/>
      <c r="R62" s="3"/>
      <c r="S62" s="3"/>
    </row>
    <row r="63" spans="1:19" x14ac:dyDescent="0.15">
      <c r="A63" s="3"/>
      <c r="B63" s="574">
        <v>7</v>
      </c>
      <c r="C63" s="566">
        <v>400</v>
      </c>
      <c r="D63" s="566" t="s">
        <v>551</v>
      </c>
      <c r="E63" s="568">
        <v>28</v>
      </c>
      <c r="F63" s="566" t="s">
        <v>247</v>
      </c>
      <c r="G63" s="566"/>
      <c r="H63" s="569">
        <f t="shared" si="1"/>
        <v>0.28000000000000003</v>
      </c>
      <c r="I63" s="567" t="s">
        <v>249</v>
      </c>
      <c r="J63" s="307"/>
      <c r="K63" s="295"/>
      <c r="L63" s="295"/>
      <c r="M63" s="309"/>
      <c r="N63" s="3"/>
      <c r="O63" s="3"/>
      <c r="P63" s="3"/>
      <c r="Q63" s="3"/>
      <c r="R63" s="3"/>
      <c r="S63" s="3"/>
    </row>
    <row r="64" spans="1:19" x14ac:dyDescent="0.15">
      <c r="A64" s="3"/>
      <c r="B64" s="574">
        <v>8</v>
      </c>
      <c r="C64" s="24">
        <v>435</v>
      </c>
      <c r="D64" s="24" t="s">
        <v>551</v>
      </c>
      <c r="E64" s="568">
        <v>30</v>
      </c>
      <c r="F64" s="566" t="s">
        <v>247</v>
      </c>
      <c r="G64" s="566"/>
      <c r="H64" s="569">
        <f t="shared" si="1"/>
        <v>0.3</v>
      </c>
      <c r="I64" s="567" t="s">
        <v>249</v>
      </c>
      <c r="J64" s="307"/>
      <c r="K64" s="295" t="s">
        <v>253</v>
      </c>
      <c r="L64" s="578">
        <f>(INDEX(H57:H69,L58,1))*L62</f>
        <v>0.11249999999999999</v>
      </c>
      <c r="M64" s="309"/>
      <c r="N64" s="3"/>
      <c r="O64" s="3"/>
      <c r="P64" s="3"/>
      <c r="Q64" s="3"/>
      <c r="R64" s="3"/>
      <c r="S64" s="3"/>
    </row>
    <row r="65" spans="1:19" x14ac:dyDescent="0.15">
      <c r="A65" s="3"/>
      <c r="B65" s="574">
        <v>9</v>
      </c>
      <c r="C65" s="566">
        <v>500</v>
      </c>
      <c r="D65" s="566" t="s">
        <v>551</v>
      </c>
      <c r="E65" s="568">
        <v>35</v>
      </c>
      <c r="F65" s="566" t="s">
        <v>247</v>
      </c>
      <c r="G65" s="566"/>
      <c r="H65" s="569">
        <f t="shared" si="1"/>
        <v>0.35</v>
      </c>
      <c r="I65" s="567" t="s">
        <v>249</v>
      </c>
      <c r="J65" s="307"/>
      <c r="K65" s="295"/>
      <c r="L65" s="295"/>
      <c r="M65" s="309"/>
      <c r="N65" s="3"/>
      <c r="O65" s="3"/>
      <c r="P65" s="3"/>
      <c r="Q65" s="3"/>
      <c r="R65" s="3"/>
      <c r="S65" s="3"/>
    </row>
    <row r="66" spans="1:19" x14ac:dyDescent="0.15">
      <c r="A66" s="3"/>
      <c r="B66" s="574">
        <v>10</v>
      </c>
      <c r="C66" s="24">
        <v>1270</v>
      </c>
      <c r="D66" s="24" t="s">
        <v>551</v>
      </c>
      <c r="E66" s="568">
        <v>49</v>
      </c>
      <c r="F66" s="566" t="s">
        <v>247</v>
      </c>
      <c r="G66" s="566"/>
      <c r="H66" s="569">
        <f t="shared" si="1"/>
        <v>0.49</v>
      </c>
      <c r="I66" s="567" t="s">
        <v>249</v>
      </c>
      <c r="J66" s="307"/>
      <c r="K66" s="295"/>
      <c r="L66" s="295"/>
      <c r="M66" s="309"/>
      <c r="N66" s="3"/>
      <c r="O66" s="3"/>
      <c r="P66" s="3"/>
      <c r="Q66" s="3"/>
      <c r="R66" s="3"/>
      <c r="S66" s="3"/>
    </row>
    <row r="67" spans="1:19" x14ac:dyDescent="0.15">
      <c r="A67" s="3"/>
      <c r="B67" s="574">
        <v>11</v>
      </c>
      <c r="C67" s="24">
        <v>2400</v>
      </c>
      <c r="D67" s="24" t="s">
        <v>551</v>
      </c>
      <c r="E67" s="568">
        <v>72</v>
      </c>
      <c r="F67" s="566" t="s">
        <v>247</v>
      </c>
      <c r="G67" s="566"/>
      <c r="H67" s="569">
        <f t="shared" si="1"/>
        <v>0.72</v>
      </c>
      <c r="I67" s="567" t="s">
        <v>249</v>
      </c>
      <c r="J67" s="307"/>
      <c r="K67" s="295"/>
      <c r="L67" s="351" t="s">
        <v>868</v>
      </c>
      <c r="M67" s="309"/>
      <c r="N67" s="3"/>
      <c r="O67" s="3"/>
      <c r="P67" s="3"/>
      <c r="Q67" s="3"/>
      <c r="R67" s="3"/>
      <c r="S67" s="3"/>
    </row>
    <row r="68" spans="1:19" x14ac:dyDescent="0.15">
      <c r="A68" s="3"/>
      <c r="B68" s="574">
        <v>12</v>
      </c>
      <c r="C68" s="566">
        <v>3300</v>
      </c>
      <c r="D68" s="566" t="s">
        <v>551</v>
      </c>
      <c r="E68" s="568">
        <v>95</v>
      </c>
      <c r="F68" s="566" t="s">
        <v>247</v>
      </c>
      <c r="G68" s="566"/>
      <c r="H68" s="569">
        <f t="shared" si="1"/>
        <v>0.95</v>
      </c>
      <c r="I68" s="567" t="s">
        <v>249</v>
      </c>
      <c r="J68" s="307"/>
      <c r="K68" s="295"/>
      <c r="L68" s="295"/>
      <c r="M68" s="309"/>
      <c r="N68" s="3"/>
      <c r="O68" s="3"/>
      <c r="P68" s="3"/>
      <c r="Q68" s="3"/>
      <c r="R68" s="3"/>
      <c r="S68" s="3"/>
    </row>
    <row r="69" spans="1:19" ht="14" thickBot="1" x14ac:dyDescent="0.2">
      <c r="A69" s="3"/>
      <c r="B69" s="575">
        <v>13</v>
      </c>
      <c r="C69" s="570">
        <v>5000</v>
      </c>
      <c r="D69" s="570" t="s">
        <v>551</v>
      </c>
      <c r="E69" s="571">
        <v>128</v>
      </c>
      <c r="F69" s="570" t="s">
        <v>247</v>
      </c>
      <c r="G69" s="570"/>
      <c r="H69" s="572">
        <f t="shared" si="1"/>
        <v>1.28</v>
      </c>
      <c r="I69" s="573" t="s">
        <v>249</v>
      </c>
      <c r="J69" s="310" t="s">
        <v>327</v>
      </c>
      <c r="K69" s="311"/>
      <c r="L69" s="311"/>
      <c r="M69" s="312"/>
      <c r="N69" s="3"/>
      <c r="O69" s="3"/>
      <c r="P69" s="3"/>
      <c r="Q69" s="3"/>
      <c r="R69" s="3"/>
      <c r="S69" s="3"/>
    </row>
    <row r="70" spans="1:19" x14ac:dyDescent="0.15">
      <c r="A70" s="3"/>
      <c r="B70" s="3"/>
      <c r="C70" s="3"/>
      <c r="D70" s="3"/>
      <c r="E70" s="3"/>
      <c r="F70" s="3"/>
      <c r="G70" s="3"/>
      <c r="H70" s="3"/>
      <c r="I70" s="3"/>
      <c r="J70" s="3"/>
      <c r="K70" s="3"/>
      <c r="L70" s="3"/>
      <c r="M70" s="3"/>
      <c r="N70" s="3"/>
      <c r="O70" s="3"/>
      <c r="P70" s="3"/>
      <c r="Q70" s="3"/>
      <c r="R70" s="3"/>
      <c r="S70" s="3"/>
    </row>
    <row r="71" spans="1:19" x14ac:dyDescent="0.15">
      <c r="A71" s="3" t="s">
        <v>512</v>
      </c>
      <c r="B71" s="3"/>
      <c r="C71" s="3"/>
      <c r="D71" s="3"/>
      <c r="E71" s="3"/>
      <c r="F71" s="3"/>
      <c r="G71" s="3"/>
      <c r="H71" s="3"/>
      <c r="I71" s="3"/>
      <c r="J71" s="3"/>
      <c r="K71" s="3"/>
      <c r="L71" s="3"/>
      <c r="M71" s="3"/>
      <c r="N71" s="3"/>
      <c r="O71" s="3"/>
      <c r="P71" s="3"/>
      <c r="Q71" s="3"/>
      <c r="R71" s="3"/>
      <c r="S71" s="3"/>
    </row>
    <row r="72" spans="1:19" ht="14" thickBot="1" x14ac:dyDescent="0.2">
      <c r="A72" s="3"/>
      <c r="B72" s="3"/>
      <c r="C72" s="3"/>
      <c r="D72" s="3"/>
      <c r="E72" s="3"/>
      <c r="F72" s="3"/>
      <c r="G72" s="3"/>
      <c r="H72" s="3"/>
      <c r="I72" s="3"/>
      <c r="J72" s="3"/>
      <c r="K72" s="3"/>
      <c r="L72" s="3"/>
      <c r="M72" s="3"/>
      <c r="N72" s="3"/>
      <c r="O72" s="3"/>
      <c r="P72" s="3"/>
      <c r="Q72" s="3"/>
      <c r="R72" s="3"/>
      <c r="S72" s="3"/>
    </row>
    <row r="73" spans="1:19" x14ac:dyDescent="0.15">
      <c r="A73" s="3"/>
      <c r="B73" s="584" t="s">
        <v>332</v>
      </c>
      <c r="C73" s="562"/>
      <c r="D73" s="562"/>
      <c r="E73" s="562"/>
      <c r="F73" s="562"/>
      <c r="G73" s="562"/>
      <c r="H73" s="562"/>
      <c r="I73" s="562"/>
      <c r="J73" s="562"/>
      <c r="K73" s="562"/>
      <c r="L73" s="562"/>
      <c r="M73" s="563"/>
      <c r="N73" s="3"/>
      <c r="O73" s="3"/>
      <c r="P73" s="3"/>
      <c r="Q73" s="3"/>
      <c r="R73" s="3"/>
      <c r="S73" s="3"/>
    </row>
    <row r="74" spans="1:19" x14ac:dyDescent="0.15">
      <c r="A74" s="3"/>
      <c r="B74" s="564"/>
      <c r="C74" s="137" t="s">
        <v>324</v>
      </c>
      <c r="D74" s="137"/>
      <c r="E74" s="137"/>
      <c r="F74" s="137"/>
      <c r="G74" s="137"/>
      <c r="H74" s="137"/>
      <c r="I74" s="137"/>
      <c r="J74" s="137"/>
      <c r="K74" s="137"/>
      <c r="L74" s="137"/>
      <c r="M74" s="139"/>
      <c r="N74" s="3"/>
      <c r="O74" s="3"/>
      <c r="P74" s="3"/>
      <c r="Q74" s="3"/>
      <c r="R74" s="3"/>
      <c r="S74" s="3"/>
    </row>
    <row r="75" spans="1:19" x14ac:dyDescent="0.15">
      <c r="A75" s="3"/>
      <c r="B75" s="564"/>
      <c r="C75" s="137" t="s">
        <v>956</v>
      </c>
      <c r="D75" s="137"/>
      <c r="E75" s="137"/>
      <c r="F75" s="137"/>
      <c r="G75" s="137"/>
      <c r="H75" s="137"/>
      <c r="I75" s="137"/>
      <c r="J75" s="137"/>
      <c r="K75" s="137"/>
      <c r="L75" s="137"/>
      <c r="M75" s="139"/>
      <c r="N75" s="3"/>
      <c r="O75" s="3"/>
      <c r="P75" s="3"/>
      <c r="Q75" s="3"/>
      <c r="R75" s="3"/>
      <c r="S75" s="3"/>
    </row>
    <row r="76" spans="1:19" ht="14" thickBot="1" x14ac:dyDescent="0.2">
      <c r="A76" s="3"/>
      <c r="B76" s="565"/>
      <c r="C76" s="142" t="s">
        <v>213</v>
      </c>
      <c r="D76" s="142"/>
      <c r="E76" s="142"/>
      <c r="F76" s="142"/>
      <c r="G76" s="142"/>
      <c r="H76" s="142"/>
      <c r="I76" s="142"/>
      <c r="J76" s="142"/>
      <c r="K76" s="142"/>
      <c r="L76" s="142"/>
      <c r="M76" s="149"/>
      <c r="N76" s="3"/>
      <c r="O76" s="3"/>
      <c r="P76" s="3"/>
      <c r="Q76" s="3"/>
      <c r="R76" s="3"/>
      <c r="S76" s="3"/>
    </row>
    <row r="77" spans="1:19" x14ac:dyDescent="0.15">
      <c r="A77" s="3"/>
      <c r="B77" s="579" t="s">
        <v>251</v>
      </c>
      <c r="C77" s="580" t="s">
        <v>250</v>
      </c>
      <c r="D77" s="581"/>
      <c r="E77" s="582" t="s">
        <v>245</v>
      </c>
      <c r="F77" s="581"/>
      <c r="G77" s="581"/>
      <c r="H77" s="580" t="s">
        <v>246</v>
      </c>
      <c r="I77" s="583"/>
      <c r="J77" s="307"/>
      <c r="K77" s="295"/>
      <c r="L77" s="295"/>
      <c r="M77" s="309"/>
      <c r="N77" s="3"/>
      <c r="O77" s="3"/>
      <c r="P77" s="3"/>
      <c r="Q77" s="3"/>
      <c r="R77" s="3"/>
      <c r="S77" s="3"/>
    </row>
    <row r="78" spans="1:19" x14ac:dyDescent="0.15">
      <c r="A78" s="3"/>
      <c r="B78" s="574">
        <v>1</v>
      </c>
      <c r="C78" s="566">
        <v>10</v>
      </c>
      <c r="D78" s="566" t="s">
        <v>551</v>
      </c>
      <c r="E78" s="568">
        <v>9.31</v>
      </c>
      <c r="F78" s="566" t="s">
        <v>247</v>
      </c>
      <c r="G78" s="566"/>
      <c r="H78" s="569">
        <f>E78/100</f>
        <v>9.3100000000000002E-2</v>
      </c>
      <c r="I78" s="567" t="s">
        <v>249</v>
      </c>
      <c r="J78" s="307"/>
      <c r="K78" s="295" t="s">
        <v>512</v>
      </c>
      <c r="L78" s="295"/>
      <c r="M78" s="309"/>
      <c r="N78" s="3"/>
      <c r="O78" s="3"/>
      <c r="P78" s="3"/>
      <c r="Q78" s="3"/>
      <c r="R78" s="3"/>
      <c r="S78" s="3"/>
    </row>
    <row r="79" spans="1:19" x14ac:dyDescent="0.15">
      <c r="A79" s="3"/>
      <c r="B79" s="574">
        <v>2</v>
      </c>
      <c r="C79" s="24">
        <v>30</v>
      </c>
      <c r="D79" s="24" t="s">
        <v>551</v>
      </c>
      <c r="E79" s="568">
        <v>12</v>
      </c>
      <c r="F79" s="566" t="s">
        <v>247</v>
      </c>
      <c r="G79" s="566" t="s">
        <v>512</v>
      </c>
      <c r="H79" s="569">
        <f>E79/100</f>
        <v>0.12</v>
      </c>
      <c r="I79" s="567" t="s">
        <v>249</v>
      </c>
      <c r="J79" s="307"/>
      <c r="K79" s="295" t="s">
        <v>251</v>
      </c>
      <c r="L79" s="262">
        <v>11</v>
      </c>
      <c r="M79" s="309"/>
      <c r="N79" s="3"/>
      <c r="O79" s="3"/>
      <c r="P79" s="3"/>
      <c r="Q79" s="3"/>
      <c r="R79" s="3"/>
      <c r="S79" s="3"/>
    </row>
    <row r="80" spans="1:19" x14ac:dyDescent="0.15">
      <c r="A80" s="3"/>
      <c r="B80" s="574">
        <v>3</v>
      </c>
      <c r="C80" s="566">
        <v>50</v>
      </c>
      <c r="D80" s="566" t="s">
        <v>551</v>
      </c>
      <c r="E80" s="568" t="s">
        <v>248</v>
      </c>
      <c r="F80" s="566" t="s">
        <v>247</v>
      </c>
      <c r="G80" s="566"/>
      <c r="H80" s="569" t="s">
        <v>248</v>
      </c>
      <c r="I80" s="567" t="s">
        <v>249</v>
      </c>
      <c r="J80" s="307"/>
      <c r="K80" s="295"/>
      <c r="L80" s="295"/>
      <c r="M80" s="309"/>
      <c r="N80" s="3"/>
      <c r="O80" s="3"/>
      <c r="P80" s="3"/>
      <c r="Q80" s="3"/>
      <c r="R80" s="3"/>
      <c r="S80" s="3"/>
    </row>
    <row r="81" spans="1:19" x14ac:dyDescent="0.15">
      <c r="A81" s="3"/>
      <c r="B81" s="574">
        <v>4</v>
      </c>
      <c r="C81" s="566">
        <v>100</v>
      </c>
      <c r="D81" s="566" t="s">
        <v>551</v>
      </c>
      <c r="E81" s="568">
        <v>18.600000000000001</v>
      </c>
      <c r="F81" s="566" t="s">
        <v>247</v>
      </c>
      <c r="G81" s="566"/>
      <c r="H81" s="569">
        <f t="shared" ref="H81:H90" si="2">E81/100</f>
        <v>0.18600000000000003</v>
      </c>
      <c r="I81" s="567" t="s">
        <v>249</v>
      </c>
      <c r="J81" s="307"/>
      <c r="K81" s="295" t="s">
        <v>550</v>
      </c>
      <c r="L81" s="576">
        <f>INDEX(C78:C90,L79,1)</f>
        <v>2400</v>
      </c>
      <c r="M81" s="309"/>
      <c r="N81" s="3"/>
      <c r="O81" s="3"/>
      <c r="P81" s="3"/>
      <c r="Q81" s="3"/>
      <c r="R81" s="3"/>
      <c r="S81" s="3"/>
    </row>
    <row r="82" spans="1:19" x14ac:dyDescent="0.15">
      <c r="A82" s="3"/>
      <c r="B82" s="574">
        <v>5</v>
      </c>
      <c r="C82" s="24">
        <v>145</v>
      </c>
      <c r="D82" s="24" t="s">
        <v>551</v>
      </c>
      <c r="E82" s="568">
        <v>19.95</v>
      </c>
      <c r="F82" s="566" t="s">
        <v>247</v>
      </c>
      <c r="G82" s="566"/>
      <c r="H82" s="569">
        <f t="shared" si="2"/>
        <v>0.19949999999999998</v>
      </c>
      <c r="I82" s="567" t="s">
        <v>249</v>
      </c>
      <c r="J82" s="307"/>
      <c r="K82" s="295"/>
      <c r="L82" s="295"/>
      <c r="M82" s="309"/>
      <c r="N82" s="3"/>
      <c r="O82" s="3"/>
      <c r="P82" s="3"/>
      <c r="Q82" s="3"/>
      <c r="R82" s="3"/>
      <c r="S82" s="3"/>
    </row>
    <row r="83" spans="1:19" x14ac:dyDescent="0.15">
      <c r="A83" s="3"/>
      <c r="B83" s="574">
        <v>6</v>
      </c>
      <c r="C83" s="566">
        <v>200</v>
      </c>
      <c r="D83" s="566" t="s">
        <v>551</v>
      </c>
      <c r="E83" s="568">
        <v>26.6</v>
      </c>
      <c r="F83" s="566" t="s">
        <v>247</v>
      </c>
      <c r="G83" s="566" t="s">
        <v>512</v>
      </c>
      <c r="H83" s="569">
        <f t="shared" si="2"/>
        <v>0.26600000000000001</v>
      </c>
      <c r="I83" s="567" t="s">
        <v>249</v>
      </c>
      <c r="J83" s="307"/>
      <c r="K83" s="295" t="s">
        <v>252</v>
      </c>
      <c r="L83" s="577">
        <v>0.5</v>
      </c>
      <c r="M83" s="309"/>
      <c r="N83" s="3"/>
      <c r="O83" s="3"/>
      <c r="P83" s="3"/>
      <c r="Q83" s="3"/>
      <c r="R83" s="3"/>
      <c r="S83" s="3"/>
    </row>
    <row r="84" spans="1:19" x14ac:dyDescent="0.15">
      <c r="A84" s="3"/>
      <c r="B84" s="574">
        <v>7</v>
      </c>
      <c r="C84" s="566">
        <v>400</v>
      </c>
      <c r="D84" s="566" t="s">
        <v>551</v>
      </c>
      <c r="E84" s="568">
        <v>37.24</v>
      </c>
      <c r="F84" s="566" t="s">
        <v>247</v>
      </c>
      <c r="G84" s="566"/>
      <c r="H84" s="569">
        <f>E84/100</f>
        <v>0.37240000000000001</v>
      </c>
      <c r="I84" s="567" t="s">
        <v>249</v>
      </c>
      <c r="J84" s="307"/>
      <c r="K84" s="295"/>
      <c r="L84" s="295"/>
      <c r="M84" s="309"/>
      <c r="N84" s="3"/>
      <c r="O84" s="3"/>
      <c r="P84" s="3"/>
      <c r="Q84" s="3"/>
      <c r="R84" s="3"/>
      <c r="S84" s="3"/>
    </row>
    <row r="85" spans="1:19" x14ac:dyDescent="0.15">
      <c r="A85" s="3"/>
      <c r="B85" s="574">
        <v>8</v>
      </c>
      <c r="C85" s="24">
        <v>435</v>
      </c>
      <c r="D85" s="24" t="s">
        <v>551</v>
      </c>
      <c r="E85" s="568">
        <v>40</v>
      </c>
      <c r="F85" s="566" t="s">
        <v>247</v>
      </c>
      <c r="G85" s="566"/>
      <c r="H85" s="569">
        <f t="shared" si="2"/>
        <v>0.4</v>
      </c>
      <c r="I85" s="567" t="s">
        <v>249</v>
      </c>
      <c r="J85" s="307"/>
      <c r="K85" s="295" t="s">
        <v>253</v>
      </c>
      <c r="L85" s="578">
        <f>(INDEX(H78:H90,L79,1))*L83</f>
        <v>0.47875000000000001</v>
      </c>
      <c r="M85" s="309"/>
      <c r="N85" s="3"/>
      <c r="O85" s="3"/>
      <c r="P85" s="3"/>
      <c r="Q85" s="3"/>
      <c r="R85" s="3"/>
      <c r="S85" s="3"/>
    </row>
    <row r="86" spans="1:19" x14ac:dyDescent="0.15">
      <c r="A86" s="3"/>
      <c r="B86" s="574">
        <v>9</v>
      </c>
      <c r="C86" s="566">
        <v>500</v>
      </c>
      <c r="D86" s="566" t="s">
        <v>551</v>
      </c>
      <c r="E86" s="568">
        <v>46.55</v>
      </c>
      <c r="F86" s="566" t="s">
        <v>247</v>
      </c>
      <c r="G86" s="566"/>
      <c r="H86" s="569">
        <f t="shared" si="2"/>
        <v>0.46549999999999997</v>
      </c>
      <c r="I86" s="567" t="s">
        <v>249</v>
      </c>
      <c r="J86" s="307"/>
      <c r="K86" s="295"/>
      <c r="L86" s="295"/>
      <c r="M86" s="309"/>
      <c r="N86" s="3"/>
      <c r="O86" s="3"/>
      <c r="P86" s="3"/>
      <c r="Q86" s="3"/>
      <c r="R86" s="3"/>
      <c r="S86" s="3"/>
    </row>
    <row r="87" spans="1:19" x14ac:dyDescent="0.15">
      <c r="A87" s="3"/>
      <c r="B87" s="574">
        <v>10</v>
      </c>
      <c r="C87" s="24">
        <v>1270</v>
      </c>
      <c r="D87" s="24" t="s">
        <v>551</v>
      </c>
      <c r="E87" s="568">
        <v>65.2</v>
      </c>
      <c r="F87" s="566" t="s">
        <v>247</v>
      </c>
      <c r="G87" s="566"/>
      <c r="H87" s="569">
        <f t="shared" si="2"/>
        <v>0.65200000000000002</v>
      </c>
      <c r="I87" s="567" t="s">
        <v>249</v>
      </c>
      <c r="J87" s="307"/>
      <c r="K87" s="295"/>
      <c r="L87" s="295"/>
      <c r="M87" s="309"/>
      <c r="N87" s="3"/>
      <c r="O87" s="3"/>
      <c r="P87" s="3"/>
      <c r="Q87" s="3"/>
      <c r="R87" s="3"/>
      <c r="S87" s="3"/>
    </row>
    <row r="88" spans="1:19" x14ac:dyDescent="0.15">
      <c r="A88" s="3"/>
      <c r="B88" s="574">
        <v>11</v>
      </c>
      <c r="C88" s="24">
        <v>2400</v>
      </c>
      <c r="D88" s="24" t="s">
        <v>551</v>
      </c>
      <c r="E88" s="568">
        <v>95.75</v>
      </c>
      <c r="F88" s="566" t="s">
        <v>247</v>
      </c>
      <c r="G88" s="566"/>
      <c r="H88" s="569">
        <f t="shared" si="2"/>
        <v>0.95750000000000002</v>
      </c>
      <c r="I88" s="567" t="s">
        <v>249</v>
      </c>
      <c r="J88" s="307"/>
      <c r="K88" s="295"/>
      <c r="L88" s="351" t="s">
        <v>868</v>
      </c>
      <c r="M88" s="309"/>
      <c r="N88" s="3"/>
      <c r="O88" s="3"/>
      <c r="P88" s="3"/>
      <c r="Q88" s="3"/>
      <c r="R88" s="3"/>
      <c r="S88" s="3"/>
    </row>
    <row r="89" spans="1:19" x14ac:dyDescent="0.15">
      <c r="A89" s="3"/>
      <c r="B89" s="574">
        <v>12</v>
      </c>
      <c r="C89" s="566">
        <v>3300</v>
      </c>
      <c r="D89" s="566" t="s">
        <v>551</v>
      </c>
      <c r="E89" s="568">
        <v>126.4</v>
      </c>
      <c r="F89" s="566" t="s">
        <v>247</v>
      </c>
      <c r="G89" s="566"/>
      <c r="H89" s="569">
        <f t="shared" si="2"/>
        <v>1.264</v>
      </c>
      <c r="I89" s="567" t="s">
        <v>249</v>
      </c>
      <c r="J89" s="307"/>
      <c r="K89" s="295"/>
      <c r="L89" s="295"/>
      <c r="M89" s="309"/>
      <c r="N89" s="3"/>
      <c r="O89" s="3"/>
      <c r="P89" s="3"/>
      <c r="Q89" s="3"/>
      <c r="R89" s="3"/>
      <c r="S89" s="3"/>
    </row>
    <row r="90" spans="1:19" ht="14" thickBot="1" x14ac:dyDescent="0.2">
      <c r="A90" s="3"/>
      <c r="B90" s="575">
        <v>13</v>
      </c>
      <c r="C90" s="570">
        <v>5000</v>
      </c>
      <c r="D90" s="570" t="s">
        <v>551</v>
      </c>
      <c r="E90" s="571">
        <v>170.2</v>
      </c>
      <c r="F90" s="570" t="s">
        <v>247</v>
      </c>
      <c r="G90" s="570"/>
      <c r="H90" s="572">
        <f t="shared" si="2"/>
        <v>1.702</v>
      </c>
      <c r="I90" s="573" t="s">
        <v>249</v>
      </c>
      <c r="J90" s="310" t="s">
        <v>330</v>
      </c>
      <c r="K90" s="311"/>
      <c r="L90" s="311"/>
      <c r="M90" s="312"/>
      <c r="N90" s="3"/>
      <c r="O90" s="3"/>
      <c r="P90" s="3"/>
      <c r="Q90" s="3"/>
      <c r="R90" s="3"/>
      <c r="S90" s="3"/>
    </row>
    <row r="91" spans="1:19" x14ac:dyDescent="0.15">
      <c r="A91" s="3"/>
      <c r="B91" s="3"/>
      <c r="C91" s="3"/>
      <c r="D91" s="3"/>
      <c r="E91" s="3"/>
      <c r="F91" s="3"/>
      <c r="G91" s="3"/>
      <c r="H91" s="3"/>
      <c r="I91" s="3"/>
      <c r="J91" s="3"/>
      <c r="K91" s="3"/>
      <c r="L91" s="3"/>
      <c r="M91" s="3"/>
      <c r="N91" s="3"/>
      <c r="O91" s="3"/>
      <c r="P91" s="3"/>
      <c r="Q91" s="3"/>
      <c r="R91" s="3"/>
      <c r="S91" s="3"/>
    </row>
    <row r="92" spans="1:19" x14ac:dyDescent="0.15">
      <c r="A92" s="3"/>
      <c r="B92" s="3"/>
      <c r="C92" s="3"/>
      <c r="D92" s="3"/>
      <c r="E92" s="3"/>
      <c r="F92" s="3"/>
      <c r="G92" s="3"/>
      <c r="H92" s="3"/>
      <c r="I92" s="3"/>
      <c r="J92" s="3"/>
      <c r="K92" s="3"/>
      <c r="L92" s="3"/>
      <c r="M92" s="3"/>
      <c r="N92" s="3"/>
      <c r="O92" s="3"/>
      <c r="P92" s="3"/>
      <c r="Q92" s="3"/>
      <c r="R92" s="3"/>
      <c r="S92" s="3"/>
    </row>
    <row r="93" spans="1:19" ht="14" thickBot="1" x14ac:dyDescent="0.2">
      <c r="A93" s="3"/>
      <c r="B93" s="3"/>
      <c r="C93" s="3"/>
      <c r="D93" s="3"/>
      <c r="E93" s="3"/>
      <c r="F93" s="3"/>
      <c r="G93" s="3"/>
      <c r="H93" s="3"/>
      <c r="I93" s="3"/>
      <c r="J93" s="3"/>
      <c r="K93" s="3"/>
      <c r="L93" s="3"/>
      <c r="M93" s="3"/>
      <c r="N93" s="3" t="s">
        <v>512</v>
      </c>
      <c r="O93" s="3"/>
      <c r="P93" s="3"/>
      <c r="Q93" s="3"/>
      <c r="R93" s="3"/>
      <c r="S93" s="3"/>
    </row>
    <row r="94" spans="1:19" x14ac:dyDescent="0.15">
      <c r="A94" s="3"/>
      <c r="B94" s="584" t="s">
        <v>333</v>
      </c>
      <c r="C94" s="562"/>
      <c r="D94" s="562"/>
      <c r="E94" s="562"/>
      <c r="F94" s="562"/>
      <c r="G94" s="562"/>
      <c r="H94" s="562"/>
      <c r="I94" s="562"/>
      <c r="J94" s="562"/>
      <c r="K94" s="562"/>
      <c r="L94" s="562"/>
      <c r="M94" s="563"/>
      <c r="N94" s="3"/>
      <c r="O94" s="3"/>
      <c r="P94" s="3"/>
      <c r="Q94" s="3"/>
      <c r="R94" s="3"/>
      <c r="S94" s="3"/>
    </row>
    <row r="95" spans="1:19" x14ac:dyDescent="0.15">
      <c r="A95" s="3"/>
      <c r="B95" s="564"/>
      <c r="C95" s="137" t="s">
        <v>605</v>
      </c>
      <c r="D95" s="137"/>
      <c r="E95" s="137"/>
      <c r="F95" s="137"/>
      <c r="G95" s="137"/>
      <c r="H95" s="137"/>
      <c r="I95" s="137"/>
      <c r="J95" s="137"/>
      <c r="K95" s="137"/>
      <c r="L95" s="137"/>
      <c r="M95" s="139"/>
      <c r="N95" s="3"/>
      <c r="O95" s="3"/>
      <c r="P95" s="3"/>
      <c r="Q95" s="3"/>
      <c r="R95" s="3"/>
      <c r="S95" s="3"/>
    </row>
    <row r="96" spans="1:19" x14ac:dyDescent="0.15">
      <c r="A96" s="3"/>
      <c r="B96" s="564"/>
      <c r="C96" s="137" t="s">
        <v>337</v>
      </c>
      <c r="D96" s="137"/>
      <c r="E96" s="137"/>
      <c r="F96" s="137"/>
      <c r="G96" s="137"/>
      <c r="H96" s="137"/>
      <c r="I96" s="137"/>
      <c r="J96" s="137"/>
      <c r="K96" s="137"/>
      <c r="L96" s="137"/>
      <c r="M96" s="139"/>
      <c r="N96" s="3"/>
      <c r="O96" s="3"/>
      <c r="P96" s="3"/>
      <c r="Q96" s="3"/>
      <c r="R96" s="3"/>
      <c r="S96" s="3"/>
    </row>
    <row r="97" spans="1:19" ht="14" thickBot="1" x14ac:dyDescent="0.2">
      <c r="A97" s="3"/>
      <c r="B97" s="565"/>
      <c r="C97" s="142" t="s">
        <v>338</v>
      </c>
      <c r="D97" s="142"/>
      <c r="E97" s="142"/>
      <c r="F97" s="142"/>
      <c r="G97" s="142"/>
      <c r="H97" s="142"/>
      <c r="I97" s="142"/>
      <c r="J97" s="142"/>
      <c r="K97" s="142"/>
      <c r="L97" s="142"/>
      <c r="M97" s="149"/>
      <c r="N97" s="3"/>
      <c r="O97" s="3"/>
      <c r="P97" s="3"/>
      <c r="Q97" s="3"/>
      <c r="R97" s="3"/>
      <c r="S97" s="3"/>
    </row>
    <row r="98" spans="1:19" x14ac:dyDescent="0.15">
      <c r="A98" s="3"/>
      <c r="B98" s="579" t="s">
        <v>251</v>
      </c>
      <c r="C98" s="580" t="s">
        <v>250</v>
      </c>
      <c r="D98" s="581"/>
      <c r="E98" s="582" t="s">
        <v>245</v>
      </c>
      <c r="F98" s="581"/>
      <c r="G98" s="581"/>
      <c r="H98" s="580" t="s">
        <v>246</v>
      </c>
      <c r="I98" s="581"/>
      <c r="J98" s="590"/>
      <c r="K98" s="305"/>
      <c r="L98" s="305"/>
      <c r="M98" s="306"/>
      <c r="N98" s="3"/>
      <c r="O98" s="3"/>
      <c r="P98" s="3"/>
      <c r="Q98" s="3"/>
      <c r="R98" s="3"/>
      <c r="S98" s="3"/>
    </row>
    <row r="99" spans="1:19" x14ac:dyDescent="0.15">
      <c r="A99" s="3"/>
      <c r="B99" s="574">
        <v>1</v>
      </c>
      <c r="C99" s="24">
        <v>30</v>
      </c>
      <c r="D99" s="24" t="s">
        <v>551</v>
      </c>
      <c r="E99" s="568">
        <v>13</v>
      </c>
      <c r="F99" s="566" t="s">
        <v>247</v>
      </c>
      <c r="G99" s="566" t="s">
        <v>512</v>
      </c>
      <c r="H99" s="569">
        <v>0.13</v>
      </c>
      <c r="I99" s="566" t="s">
        <v>249</v>
      </c>
      <c r="J99" s="307"/>
      <c r="K99" s="295" t="s">
        <v>512</v>
      </c>
      <c r="L99" s="295"/>
      <c r="M99" s="309"/>
      <c r="N99" s="3"/>
      <c r="O99" s="3"/>
      <c r="P99" s="3"/>
      <c r="Q99" s="3"/>
      <c r="R99" s="3"/>
      <c r="S99" s="3"/>
    </row>
    <row r="100" spans="1:19" x14ac:dyDescent="0.15">
      <c r="A100" s="3"/>
      <c r="B100" s="574">
        <v>2</v>
      </c>
      <c r="C100" s="24">
        <v>145</v>
      </c>
      <c r="D100" s="24" t="s">
        <v>551</v>
      </c>
      <c r="E100" s="568">
        <v>25</v>
      </c>
      <c r="F100" s="566" t="s">
        <v>247</v>
      </c>
      <c r="G100" s="566"/>
      <c r="H100" s="569">
        <v>0.25</v>
      </c>
      <c r="I100" s="566" t="s">
        <v>249</v>
      </c>
      <c r="J100" s="307"/>
      <c r="K100" s="295" t="s">
        <v>251</v>
      </c>
      <c r="L100" s="262">
        <v>3</v>
      </c>
      <c r="M100" s="309"/>
      <c r="N100" s="3"/>
      <c r="O100" s="3"/>
      <c r="P100" s="3"/>
      <c r="Q100" s="3"/>
      <c r="R100" s="3"/>
      <c r="S100" s="3"/>
    </row>
    <row r="101" spans="1:19" x14ac:dyDescent="0.15">
      <c r="A101" s="3"/>
      <c r="B101" s="574">
        <v>3</v>
      </c>
      <c r="C101" s="24">
        <v>435</v>
      </c>
      <c r="D101" s="24" t="s">
        <v>551</v>
      </c>
      <c r="E101" s="568">
        <v>33</v>
      </c>
      <c r="F101" s="566" t="s">
        <v>247</v>
      </c>
      <c r="G101" s="566"/>
      <c r="H101" s="569">
        <v>0.33</v>
      </c>
      <c r="I101" s="566" t="s">
        <v>249</v>
      </c>
      <c r="J101" s="307"/>
      <c r="K101" s="295"/>
      <c r="L101" s="295"/>
      <c r="M101" s="309"/>
      <c r="N101" s="3"/>
      <c r="O101" s="3"/>
      <c r="P101" s="3"/>
      <c r="Q101" s="3"/>
      <c r="R101" s="3"/>
      <c r="S101" s="3"/>
    </row>
    <row r="102" spans="1:19" x14ac:dyDescent="0.15">
      <c r="A102" s="3"/>
      <c r="B102" s="574">
        <v>4</v>
      </c>
      <c r="C102" s="24">
        <v>1270</v>
      </c>
      <c r="D102" s="24" t="s">
        <v>551</v>
      </c>
      <c r="E102" s="568">
        <v>53</v>
      </c>
      <c r="F102" s="566" t="s">
        <v>247</v>
      </c>
      <c r="G102" s="566"/>
      <c r="H102" s="569">
        <v>0.53</v>
      </c>
      <c r="I102" s="566" t="s">
        <v>249</v>
      </c>
      <c r="J102" s="307"/>
      <c r="K102" s="295" t="s">
        <v>550</v>
      </c>
      <c r="L102" s="598">
        <f>INDEX(C99:C112,L100,1)</f>
        <v>435</v>
      </c>
      <c r="M102" s="309"/>
      <c r="N102" s="3"/>
      <c r="O102" s="3"/>
      <c r="P102" s="3"/>
      <c r="Q102" s="3"/>
      <c r="R102" s="3"/>
      <c r="S102" s="3"/>
    </row>
    <row r="103" spans="1:19" x14ac:dyDescent="0.15">
      <c r="A103" s="3"/>
      <c r="B103" s="574">
        <v>5</v>
      </c>
      <c r="C103" s="566">
        <v>2000</v>
      </c>
      <c r="D103" s="566" t="s">
        <v>551</v>
      </c>
      <c r="E103" s="589">
        <v>88.6</v>
      </c>
      <c r="F103" s="566" t="s">
        <v>247</v>
      </c>
      <c r="G103" s="566"/>
      <c r="H103" s="588">
        <v>0.88600000000000001</v>
      </c>
      <c r="I103" s="566" t="s">
        <v>249</v>
      </c>
      <c r="J103" s="307"/>
      <c r="K103" s="295"/>
      <c r="L103" s="295"/>
      <c r="M103" s="309"/>
      <c r="N103" s="3"/>
      <c r="O103" s="3"/>
      <c r="P103" s="3"/>
      <c r="Q103" s="3"/>
      <c r="R103" s="3"/>
      <c r="S103" s="3"/>
    </row>
    <row r="104" spans="1:19" x14ac:dyDescent="0.15">
      <c r="A104" s="3"/>
      <c r="B104" s="574">
        <v>6</v>
      </c>
      <c r="C104" s="24">
        <v>2400</v>
      </c>
      <c r="D104" s="24" t="s">
        <v>551</v>
      </c>
      <c r="E104" s="568">
        <v>96</v>
      </c>
      <c r="F104" s="566" t="s">
        <v>247</v>
      </c>
      <c r="G104" s="566"/>
      <c r="H104" s="569">
        <v>0.96</v>
      </c>
      <c r="I104" s="566" t="s">
        <v>249</v>
      </c>
      <c r="J104" s="307"/>
      <c r="K104" s="295" t="s">
        <v>252</v>
      </c>
      <c r="L104" s="577">
        <v>0.5</v>
      </c>
      <c r="M104" s="309"/>
      <c r="N104" s="3"/>
      <c r="O104" s="3"/>
      <c r="P104" s="3"/>
      <c r="Q104" s="3"/>
      <c r="R104" s="3"/>
      <c r="S104" s="3"/>
    </row>
    <row r="105" spans="1:19" x14ac:dyDescent="0.15">
      <c r="A105" s="3"/>
      <c r="B105" s="574">
        <v>7</v>
      </c>
      <c r="C105" s="597">
        <v>10000</v>
      </c>
      <c r="D105" s="566" t="s">
        <v>551</v>
      </c>
      <c r="E105" s="589">
        <v>200.1</v>
      </c>
      <c r="F105" s="566" t="s">
        <v>247</v>
      </c>
      <c r="G105" s="566"/>
      <c r="H105" s="588">
        <v>2.0009999999999999</v>
      </c>
      <c r="I105" s="566" t="s">
        <v>249</v>
      </c>
      <c r="J105" s="307"/>
      <c r="K105" s="295"/>
      <c r="L105" s="295"/>
      <c r="M105" s="309"/>
      <c r="N105" s="3"/>
      <c r="O105" s="3"/>
      <c r="P105" s="3"/>
      <c r="Q105" s="3"/>
      <c r="R105" s="3"/>
      <c r="S105" s="3"/>
    </row>
    <row r="106" spans="1:19" x14ac:dyDescent="0.15">
      <c r="A106" s="3"/>
      <c r="B106" s="574">
        <v>8</v>
      </c>
      <c r="C106" s="597">
        <v>18000</v>
      </c>
      <c r="D106" s="566" t="s">
        <v>551</v>
      </c>
      <c r="E106" s="589">
        <v>275.5</v>
      </c>
      <c r="F106" s="566" t="s">
        <v>247</v>
      </c>
      <c r="G106" s="566"/>
      <c r="H106" s="588">
        <v>2.7549999999999999</v>
      </c>
      <c r="I106" s="566" t="s">
        <v>249</v>
      </c>
      <c r="J106" s="307"/>
      <c r="K106" s="295" t="s">
        <v>253</v>
      </c>
      <c r="L106" s="578">
        <f>(INDEX(H99:H112,L100,1))*L104</f>
        <v>0.16500000000000001</v>
      </c>
      <c r="M106" s="309"/>
      <c r="N106" s="3"/>
      <c r="O106" s="3"/>
      <c r="P106" s="3"/>
      <c r="Q106" s="3"/>
      <c r="R106" s="3"/>
      <c r="S106" s="3"/>
    </row>
    <row r="107" spans="1:19" x14ac:dyDescent="0.15">
      <c r="A107" s="3"/>
      <c r="B107" s="574"/>
      <c r="C107" s="586"/>
      <c r="D107" s="566"/>
      <c r="E107" s="568"/>
      <c r="F107" s="566"/>
      <c r="G107" s="566"/>
      <c r="H107" s="569"/>
      <c r="I107" s="566"/>
      <c r="J107" s="307"/>
      <c r="K107" s="295"/>
      <c r="L107" s="295"/>
      <c r="M107" s="309"/>
      <c r="N107" s="3"/>
      <c r="O107" s="3"/>
      <c r="P107" s="3"/>
      <c r="Q107" s="3"/>
      <c r="R107" s="3"/>
      <c r="S107" s="3"/>
    </row>
    <row r="108" spans="1:19" x14ac:dyDescent="0.15">
      <c r="A108" s="3"/>
      <c r="B108" s="574"/>
      <c r="C108" s="586"/>
      <c r="D108" s="566"/>
      <c r="E108" s="568"/>
      <c r="F108" s="566" t="s">
        <v>512</v>
      </c>
      <c r="G108" s="566"/>
      <c r="H108" s="569"/>
      <c r="I108" s="566"/>
      <c r="J108" s="307"/>
      <c r="K108" s="295"/>
      <c r="L108" s="295"/>
      <c r="M108" s="309"/>
      <c r="N108" s="3" t="s">
        <v>512</v>
      </c>
      <c r="O108" s="3"/>
      <c r="P108" s="3"/>
      <c r="Q108" s="3"/>
      <c r="R108" s="3"/>
      <c r="S108" s="3"/>
    </row>
    <row r="109" spans="1:19" x14ac:dyDescent="0.15">
      <c r="A109" s="3"/>
      <c r="B109" s="574"/>
      <c r="C109" s="586"/>
      <c r="D109" s="566"/>
      <c r="E109" s="568"/>
      <c r="F109" s="566"/>
      <c r="G109" s="566"/>
      <c r="H109" s="569"/>
      <c r="I109" s="566"/>
      <c r="J109" s="307"/>
      <c r="K109" s="295"/>
      <c r="L109" s="295"/>
      <c r="M109" s="309"/>
      <c r="N109" s="3"/>
      <c r="O109" s="3"/>
      <c r="P109" s="3"/>
      <c r="Q109" s="3"/>
      <c r="R109" s="3"/>
      <c r="S109" s="3"/>
    </row>
    <row r="110" spans="1:19" x14ac:dyDescent="0.15">
      <c r="A110" s="3"/>
      <c r="B110" s="574"/>
      <c r="C110" s="586"/>
      <c r="D110" s="566"/>
      <c r="E110" s="568"/>
      <c r="F110" s="566"/>
      <c r="G110" s="566"/>
      <c r="H110" s="569"/>
      <c r="I110" s="566"/>
      <c r="J110" s="307"/>
      <c r="K110" s="295"/>
      <c r="L110" s="351" t="s">
        <v>868</v>
      </c>
      <c r="M110" s="309"/>
      <c r="N110" s="3"/>
      <c r="O110" s="3"/>
      <c r="P110" s="3"/>
      <c r="Q110" s="3"/>
      <c r="R110" s="3"/>
      <c r="S110" s="3"/>
    </row>
    <row r="111" spans="1:19" x14ac:dyDescent="0.15">
      <c r="A111" s="3"/>
      <c r="B111" s="574"/>
      <c r="C111" s="586"/>
      <c r="D111" s="566"/>
      <c r="E111" s="568"/>
      <c r="F111" s="566"/>
      <c r="G111" s="566"/>
      <c r="H111" s="569"/>
      <c r="I111" s="566"/>
      <c r="J111" s="307" t="s">
        <v>342</v>
      </c>
      <c r="K111" s="295"/>
      <c r="L111" s="295"/>
      <c r="M111" s="309"/>
      <c r="N111" s="3"/>
      <c r="O111" s="3"/>
      <c r="P111" s="3"/>
      <c r="Q111" s="3"/>
      <c r="R111" s="3"/>
      <c r="S111" s="3"/>
    </row>
    <row r="112" spans="1:19" ht="14" thickBot="1" x14ac:dyDescent="0.2">
      <c r="A112" s="3"/>
      <c r="B112" s="575" t="s">
        <v>512</v>
      </c>
      <c r="C112" s="570" t="s">
        <v>512</v>
      </c>
      <c r="D112" s="570" t="s">
        <v>512</v>
      </c>
      <c r="E112" s="571"/>
      <c r="F112" s="570"/>
      <c r="G112" s="570"/>
      <c r="H112" s="572"/>
      <c r="I112" s="570"/>
      <c r="J112" s="310" t="s">
        <v>339</v>
      </c>
      <c r="K112" s="311"/>
      <c r="L112" s="311"/>
      <c r="M112" s="312"/>
      <c r="N112" s="3"/>
      <c r="O112" s="3"/>
      <c r="P112" s="3"/>
      <c r="Q112" s="3"/>
      <c r="R112" s="3"/>
      <c r="S112" s="3"/>
    </row>
    <row r="113" spans="1:19" x14ac:dyDescent="0.15">
      <c r="A113" s="3"/>
      <c r="B113" s="3"/>
      <c r="C113" s="3"/>
      <c r="D113" s="3"/>
      <c r="E113" s="3"/>
      <c r="F113" s="3"/>
      <c r="G113" s="3"/>
      <c r="H113" s="3"/>
      <c r="I113" s="3"/>
      <c r="J113" s="3"/>
      <c r="K113" s="3"/>
      <c r="L113" s="3"/>
      <c r="M113" s="3"/>
      <c r="N113" s="3"/>
      <c r="O113" s="3"/>
      <c r="P113" s="3"/>
      <c r="Q113" s="3"/>
      <c r="R113" s="3"/>
      <c r="S113" s="3"/>
    </row>
    <row r="114" spans="1:19" x14ac:dyDescent="0.15">
      <c r="A114" s="3"/>
      <c r="B114" s="3" t="s">
        <v>512</v>
      </c>
      <c r="C114" s="3"/>
      <c r="D114" s="3"/>
      <c r="E114" s="3"/>
      <c r="F114" s="3"/>
      <c r="G114" s="3"/>
      <c r="H114" s="3"/>
      <c r="I114" s="3"/>
      <c r="J114" s="3"/>
      <c r="K114" s="3"/>
      <c r="L114" s="3"/>
      <c r="M114" s="3"/>
      <c r="N114" s="3"/>
      <c r="O114" s="3"/>
      <c r="P114" s="3"/>
      <c r="Q114" s="3"/>
      <c r="R114" s="3"/>
      <c r="S114" s="3"/>
    </row>
    <row r="115" spans="1:19" ht="14" thickBot="1" x14ac:dyDescent="0.2">
      <c r="A115" s="3"/>
      <c r="B115" s="3"/>
      <c r="C115" s="3"/>
      <c r="D115" s="3"/>
      <c r="E115" s="3"/>
      <c r="F115" s="3"/>
      <c r="G115" s="3"/>
      <c r="H115" s="3"/>
      <c r="I115" s="3"/>
      <c r="J115" s="3"/>
      <c r="K115" s="3"/>
      <c r="L115" s="3"/>
      <c r="M115" s="3"/>
      <c r="N115" s="3"/>
      <c r="O115" s="3"/>
      <c r="P115" s="3"/>
      <c r="Q115" s="3"/>
      <c r="R115" s="3"/>
      <c r="S115" s="3"/>
    </row>
    <row r="116" spans="1:19" x14ac:dyDescent="0.15">
      <c r="A116" s="3"/>
      <c r="B116" s="584" t="s">
        <v>340</v>
      </c>
      <c r="C116" s="562"/>
      <c r="D116" s="562"/>
      <c r="E116" s="562"/>
      <c r="F116" s="562"/>
      <c r="G116" s="562"/>
      <c r="H116" s="562"/>
      <c r="I116" s="562"/>
      <c r="J116" s="562"/>
      <c r="K116" s="562"/>
      <c r="L116" s="562"/>
      <c r="M116" s="563"/>
      <c r="N116" s="3"/>
      <c r="O116" s="3"/>
      <c r="P116" s="3"/>
      <c r="Q116" s="3"/>
      <c r="R116" s="3"/>
      <c r="S116" s="3"/>
    </row>
    <row r="117" spans="1:19" x14ac:dyDescent="0.15">
      <c r="A117" s="3"/>
      <c r="B117" s="564"/>
      <c r="C117" s="137" t="s">
        <v>606</v>
      </c>
      <c r="D117" s="137"/>
      <c r="E117" s="137"/>
      <c r="F117" s="137"/>
      <c r="G117" s="137"/>
      <c r="H117" s="137"/>
      <c r="I117" s="137"/>
      <c r="J117" s="137"/>
      <c r="K117" s="137"/>
      <c r="L117" s="137"/>
      <c r="M117" s="139"/>
      <c r="N117" s="3"/>
      <c r="O117" s="3"/>
      <c r="P117" s="3"/>
      <c r="Q117" s="3"/>
      <c r="R117" s="3"/>
      <c r="S117" s="3"/>
    </row>
    <row r="118" spans="1:19" x14ac:dyDescent="0.15">
      <c r="A118" s="3"/>
      <c r="B118" s="564"/>
      <c r="C118" s="137" t="s">
        <v>341</v>
      </c>
      <c r="D118" s="137"/>
      <c r="E118" s="137"/>
      <c r="F118" s="137"/>
      <c r="G118" s="137"/>
      <c r="H118" s="137"/>
      <c r="I118" s="137"/>
      <c r="J118" s="137"/>
      <c r="K118" s="137"/>
      <c r="L118" s="137"/>
      <c r="M118" s="139"/>
      <c r="N118" s="3"/>
      <c r="O118" s="3"/>
      <c r="P118" s="3"/>
      <c r="Q118" s="3"/>
      <c r="R118" s="3"/>
      <c r="S118" s="3"/>
    </row>
    <row r="119" spans="1:19" ht="14" thickBot="1" x14ac:dyDescent="0.2">
      <c r="A119" s="3"/>
      <c r="B119" s="565"/>
      <c r="C119" s="142" t="s">
        <v>338</v>
      </c>
      <c r="D119" s="142"/>
      <c r="E119" s="142"/>
      <c r="F119" s="142"/>
      <c r="G119" s="142"/>
      <c r="H119" s="142"/>
      <c r="I119" s="142"/>
      <c r="J119" s="142"/>
      <c r="K119" s="142"/>
      <c r="L119" s="142"/>
      <c r="M119" s="149"/>
      <c r="N119" s="3"/>
      <c r="O119" s="3"/>
      <c r="P119" s="3"/>
      <c r="Q119" s="3"/>
      <c r="R119" s="3"/>
      <c r="S119" s="3"/>
    </row>
    <row r="120" spans="1:19" x14ac:dyDescent="0.15">
      <c r="A120" s="3"/>
      <c r="B120" s="579" t="s">
        <v>251</v>
      </c>
      <c r="C120" s="580" t="s">
        <v>250</v>
      </c>
      <c r="D120" s="581"/>
      <c r="E120" s="582" t="s">
        <v>245</v>
      </c>
      <c r="F120" s="581"/>
      <c r="G120" s="581"/>
      <c r="H120" s="580" t="s">
        <v>246</v>
      </c>
      <c r="I120" s="581"/>
      <c r="J120" s="590"/>
      <c r="K120" s="305"/>
      <c r="L120" s="305"/>
      <c r="M120" s="306"/>
      <c r="N120" s="3"/>
      <c r="O120" s="3"/>
      <c r="P120" s="3"/>
      <c r="Q120" s="3"/>
      <c r="R120" s="3"/>
      <c r="S120" s="3"/>
    </row>
    <row r="121" spans="1:19" x14ac:dyDescent="0.15">
      <c r="A121" s="3"/>
      <c r="B121" s="574">
        <v>1</v>
      </c>
      <c r="C121" s="24">
        <v>30</v>
      </c>
      <c r="D121" s="24" t="s">
        <v>551</v>
      </c>
      <c r="E121" s="568">
        <v>8</v>
      </c>
      <c r="F121" s="566" t="s">
        <v>247</v>
      </c>
      <c r="G121" s="566" t="s">
        <v>512</v>
      </c>
      <c r="H121" s="569">
        <v>0.08</v>
      </c>
      <c r="I121" s="566" t="s">
        <v>249</v>
      </c>
      <c r="J121" s="307"/>
      <c r="K121" s="295" t="s">
        <v>512</v>
      </c>
      <c r="L121" s="295"/>
      <c r="M121" s="309"/>
      <c r="N121" s="3"/>
      <c r="O121" s="3"/>
      <c r="P121" s="3"/>
      <c r="Q121" s="3"/>
      <c r="R121" s="3"/>
      <c r="S121" s="3"/>
    </row>
    <row r="122" spans="1:19" x14ac:dyDescent="0.15">
      <c r="A122" s="3"/>
      <c r="B122" s="574">
        <v>2</v>
      </c>
      <c r="C122" s="24">
        <v>145</v>
      </c>
      <c r="D122" s="24" t="s">
        <v>551</v>
      </c>
      <c r="E122" s="568">
        <v>15</v>
      </c>
      <c r="F122" s="566" t="s">
        <v>247</v>
      </c>
      <c r="G122" s="566"/>
      <c r="H122" s="569">
        <v>0.15</v>
      </c>
      <c r="I122" s="566" t="s">
        <v>249</v>
      </c>
      <c r="J122" s="307"/>
      <c r="K122" s="295" t="s">
        <v>251</v>
      </c>
      <c r="L122" s="262">
        <v>7</v>
      </c>
      <c r="M122" s="309"/>
      <c r="N122" s="3"/>
      <c r="O122" s="3"/>
      <c r="P122" s="3"/>
      <c r="Q122" s="3"/>
      <c r="R122" s="3"/>
      <c r="S122" s="3"/>
    </row>
    <row r="123" spans="1:19" x14ac:dyDescent="0.15">
      <c r="A123" s="3"/>
      <c r="B123" s="574">
        <v>3</v>
      </c>
      <c r="C123" s="24">
        <v>435</v>
      </c>
      <c r="D123" s="24" t="s">
        <v>551</v>
      </c>
      <c r="E123" s="568">
        <v>24</v>
      </c>
      <c r="F123" s="566" t="s">
        <v>247</v>
      </c>
      <c r="G123" s="566"/>
      <c r="H123" s="569">
        <v>0.24</v>
      </c>
      <c r="I123" s="566" t="s">
        <v>249</v>
      </c>
      <c r="J123" s="307"/>
      <c r="K123" s="295"/>
      <c r="L123" s="295"/>
      <c r="M123" s="309"/>
      <c r="N123" s="3"/>
      <c r="O123" s="3"/>
      <c r="P123" s="3"/>
      <c r="Q123" s="3"/>
      <c r="R123" s="3"/>
      <c r="S123" s="3"/>
    </row>
    <row r="124" spans="1:19" x14ac:dyDescent="0.15">
      <c r="A124" s="3"/>
      <c r="B124" s="574">
        <v>4</v>
      </c>
      <c r="C124" s="24">
        <v>1270</v>
      </c>
      <c r="D124" s="24" t="s">
        <v>551</v>
      </c>
      <c r="E124" s="568">
        <v>57.5</v>
      </c>
      <c r="F124" s="566" t="s">
        <v>247</v>
      </c>
      <c r="G124" s="566"/>
      <c r="H124" s="587">
        <v>0.57499999999999996</v>
      </c>
      <c r="I124" s="566" t="s">
        <v>249</v>
      </c>
      <c r="J124" s="307"/>
      <c r="K124" s="295" t="s">
        <v>550</v>
      </c>
      <c r="L124" s="576">
        <f>INDEX(C121:C134,L122,1)</f>
        <v>10000</v>
      </c>
      <c r="M124" s="309"/>
      <c r="N124" s="3"/>
      <c r="O124" s="3"/>
      <c r="P124" s="3"/>
      <c r="Q124" s="3"/>
      <c r="R124" s="3"/>
      <c r="S124" s="3"/>
    </row>
    <row r="125" spans="1:19" x14ac:dyDescent="0.15">
      <c r="A125" s="3"/>
      <c r="B125" s="574">
        <v>5</v>
      </c>
      <c r="C125" s="566">
        <v>2000</v>
      </c>
      <c r="D125" s="566" t="s">
        <v>551</v>
      </c>
      <c r="E125" s="589">
        <v>65.599999999999994</v>
      </c>
      <c r="F125" s="566" t="s">
        <v>247</v>
      </c>
      <c r="G125" s="566"/>
      <c r="H125" s="588">
        <v>0.65600000000000003</v>
      </c>
      <c r="I125" s="566" t="s">
        <v>249</v>
      </c>
      <c r="J125" s="307"/>
      <c r="K125" s="295"/>
      <c r="L125" s="295"/>
      <c r="M125" s="309"/>
      <c r="N125" s="3"/>
      <c r="O125" s="3"/>
      <c r="P125" s="3"/>
      <c r="Q125" s="3"/>
      <c r="R125" s="3"/>
      <c r="S125" s="3"/>
    </row>
    <row r="126" spans="1:19" x14ac:dyDescent="0.15">
      <c r="A126" s="3"/>
      <c r="B126" s="574">
        <v>6</v>
      </c>
      <c r="C126" s="24">
        <v>2400</v>
      </c>
      <c r="D126" s="24" t="s">
        <v>551</v>
      </c>
      <c r="E126" s="568">
        <v>68.5</v>
      </c>
      <c r="F126" s="566" t="s">
        <v>247</v>
      </c>
      <c r="G126" s="566"/>
      <c r="H126" s="587">
        <v>0.68500000000000005</v>
      </c>
      <c r="I126" s="566" t="s">
        <v>249</v>
      </c>
      <c r="J126" s="307"/>
      <c r="K126" s="295" t="s">
        <v>252</v>
      </c>
      <c r="L126" s="577">
        <v>0.5</v>
      </c>
      <c r="M126" s="309"/>
      <c r="N126" s="3"/>
      <c r="O126" s="3"/>
      <c r="P126" s="3"/>
      <c r="Q126" s="3"/>
      <c r="R126" s="3"/>
      <c r="S126" s="3"/>
    </row>
    <row r="127" spans="1:19" x14ac:dyDescent="0.15">
      <c r="A127" s="3"/>
      <c r="B127" s="574">
        <v>7</v>
      </c>
      <c r="C127" s="597">
        <v>10000</v>
      </c>
      <c r="D127" s="566" t="s">
        <v>551</v>
      </c>
      <c r="E127" s="589">
        <v>91.8</v>
      </c>
      <c r="F127" s="566" t="s">
        <v>247</v>
      </c>
      <c r="G127" s="566"/>
      <c r="H127" s="588">
        <v>0.91800000000000004</v>
      </c>
      <c r="I127" s="566" t="s">
        <v>249</v>
      </c>
      <c r="J127" s="307"/>
      <c r="K127" s="295"/>
      <c r="L127" s="295"/>
      <c r="M127" s="309"/>
      <c r="N127" s="3"/>
      <c r="O127" s="3"/>
      <c r="P127" s="3"/>
      <c r="Q127" s="3"/>
      <c r="R127" s="3"/>
      <c r="S127" s="3"/>
    </row>
    <row r="128" spans="1:19" x14ac:dyDescent="0.15">
      <c r="A128" s="3"/>
      <c r="B128" s="574">
        <v>8</v>
      </c>
      <c r="C128" s="597">
        <v>18000</v>
      </c>
      <c r="D128" s="566" t="s">
        <v>551</v>
      </c>
      <c r="E128" s="589">
        <v>124.6</v>
      </c>
      <c r="F128" s="566" t="s">
        <v>247</v>
      </c>
      <c r="G128" s="566"/>
      <c r="H128" s="588">
        <v>1.246</v>
      </c>
      <c r="I128" s="566" t="s">
        <v>249</v>
      </c>
      <c r="J128" s="307"/>
      <c r="K128" s="295" t="s">
        <v>253</v>
      </c>
      <c r="L128" s="578">
        <f>(INDEX(H121:H134,L122,1))*L126</f>
        <v>0.45900000000000002</v>
      </c>
      <c r="M128" s="309"/>
      <c r="N128" s="3"/>
      <c r="O128" s="3"/>
      <c r="P128" s="3"/>
      <c r="Q128" s="3"/>
      <c r="R128" s="3"/>
      <c r="S128" s="3"/>
    </row>
    <row r="129" spans="1:19" x14ac:dyDescent="0.15">
      <c r="A129" s="3"/>
      <c r="B129" s="574"/>
      <c r="C129" s="586"/>
      <c r="D129" s="566"/>
      <c r="E129" s="568"/>
      <c r="F129" s="566"/>
      <c r="G129" s="566"/>
      <c r="H129" s="569"/>
      <c r="I129" s="566"/>
      <c r="J129" s="307"/>
      <c r="K129" s="295"/>
      <c r="L129" s="295"/>
      <c r="M129" s="309"/>
      <c r="N129" s="3"/>
      <c r="O129" s="3"/>
      <c r="P129" s="3"/>
      <c r="Q129" s="3"/>
      <c r="R129" s="3"/>
      <c r="S129" s="3"/>
    </row>
    <row r="130" spans="1:19" x14ac:dyDescent="0.15">
      <c r="A130" s="3"/>
      <c r="B130" s="574"/>
      <c r="C130" s="586"/>
      <c r="D130" s="566"/>
      <c r="E130" s="568"/>
      <c r="F130" s="566" t="s">
        <v>512</v>
      </c>
      <c r="G130" s="566"/>
      <c r="H130" s="569"/>
      <c r="I130" s="566"/>
      <c r="J130" s="307"/>
      <c r="K130" s="295"/>
      <c r="L130" s="295"/>
      <c r="M130" s="309"/>
      <c r="N130" s="3"/>
      <c r="O130" s="3"/>
      <c r="P130" s="3"/>
      <c r="Q130" s="3"/>
      <c r="R130" s="3"/>
      <c r="S130" s="3"/>
    </row>
    <row r="131" spans="1:19" x14ac:dyDescent="0.15">
      <c r="A131" s="3"/>
      <c r="B131" s="574"/>
      <c r="C131" s="586"/>
      <c r="D131" s="566"/>
      <c r="E131" s="568"/>
      <c r="F131" s="566"/>
      <c r="G131" s="566"/>
      <c r="H131" s="569"/>
      <c r="I131" s="566"/>
      <c r="J131" s="307"/>
      <c r="K131" s="295"/>
      <c r="L131" s="295"/>
      <c r="M131" s="309"/>
      <c r="N131" s="3"/>
      <c r="O131" s="3"/>
      <c r="P131" s="3"/>
      <c r="Q131" s="3"/>
      <c r="R131" s="3"/>
      <c r="S131" s="3"/>
    </row>
    <row r="132" spans="1:19" x14ac:dyDescent="0.15">
      <c r="A132" s="3"/>
      <c r="B132" s="574"/>
      <c r="C132" s="586"/>
      <c r="D132" s="566"/>
      <c r="E132" s="568"/>
      <c r="F132" s="566"/>
      <c r="G132" s="566"/>
      <c r="H132" s="569"/>
      <c r="I132" s="566"/>
      <c r="J132" s="307"/>
      <c r="K132" s="295"/>
      <c r="L132" s="351" t="s">
        <v>868</v>
      </c>
      <c r="M132" s="309"/>
      <c r="N132" s="3"/>
      <c r="O132" s="3"/>
      <c r="P132" s="3"/>
      <c r="Q132" s="3"/>
      <c r="R132" s="3"/>
      <c r="S132" s="3"/>
    </row>
    <row r="133" spans="1:19" x14ac:dyDescent="0.15">
      <c r="A133" s="3"/>
      <c r="B133" s="574"/>
      <c r="C133" s="586"/>
      <c r="D133" s="566"/>
      <c r="E133" s="568"/>
      <c r="F133" s="566"/>
      <c r="G133" s="566"/>
      <c r="H133" s="569"/>
      <c r="I133" s="566"/>
      <c r="J133" s="307" t="s">
        <v>343</v>
      </c>
      <c r="K133" s="295"/>
      <c r="L133" s="295"/>
      <c r="M133" s="309"/>
      <c r="N133" s="3"/>
      <c r="O133" s="3"/>
      <c r="P133" s="3"/>
      <c r="Q133" s="3"/>
      <c r="R133" s="3"/>
      <c r="S133" s="3"/>
    </row>
    <row r="134" spans="1:19" ht="14" thickBot="1" x14ac:dyDescent="0.2">
      <c r="A134" s="3"/>
      <c r="B134" s="575" t="s">
        <v>512</v>
      </c>
      <c r="C134" s="570" t="s">
        <v>512</v>
      </c>
      <c r="D134" s="570" t="s">
        <v>512</v>
      </c>
      <c r="E134" s="571"/>
      <c r="F134" s="570"/>
      <c r="G134" s="570"/>
      <c r="H134" s="572"/>
      <c r="I134" s="570"/>
      <c r="J134" s="310" t="s">
        <v>339</v>
      </c>
      <c r="K134" s="311"/>
      <c r="L134" s="311"/>
      <c r="M134" s="312"/>
      <c r="N134" s="3"/>
      <c r="O134" s="3"/>
      <c r="P134" s="3"/>
      <c r="Q134" s="3"/>
      <c r="R134" s="3"/>
      <c r="S134" s="3"/>
    </row>
    <row r="135" spans="1:19" x14ac:dyDescent="0.15">
      <c r="A135" s="3"/>
      <c r="B135" s="3"/>
      <c r="C135" s="3"/>
      <c r="D135" s="3"/>
      <c r="E135" s="3"/>
      <c r="F135" s="3"/>
      <c r="G135" s="3"/>
      <c r="H135" s="3"/>
      <c r="I135" s="3"/>
      <c r="J135" s="3"/>
      <c r="K135" s="3"/>
      <c r="L135" s="3"/>
      <c r="M135" s="3"/>
      <c r="N135" s="3"/>
      <c r="O135" s="3"/>
      <c r="P135" s="3"/>
      <c r="Q135" s="3"/>
      <c r="R135" s="3"/>
      <c r="S135" s="3"/>
    </row>
    <row r="136" spans="1:19" x14ac:dyDescent="0.15">
      <c r="A136" s="3"/>
      <c r="B136" s="3"/>
      <c r="C136" s="3"/>
      <c r="D136" s="3"/>
      <c r="E136" s="3"/>
      <c r="F136" s="3"/>
      <c r="G136" s="3"/>
      <c r="H136" s="3"/>
      <c r="I136" s="3"/>
      <c r="J136" s="3"/>
      <c r="K136" s="3"/>
      <c r="L136" s="3"/>
      <c r="M136" s="3"/>
      <c r="N136" s="3"/>
      <c r="O136" s="3"/>
      <c r="P136" s="3"/>
      <c r="Q136" s="3"/>
      <c r="R136" s="3"/>
      <c r="S136" s="3"/>
    </row>
    <row r="137" spans="1:19" x14ac:dyDescent="0.15">
      <c r="A137" s="3"/>
      <c r="B137" s="3"/>
      <c r="C137" s="3"/>
      <c r="D137" s="3"/>
      <c r="E137" s="3"/>
      <c r="F137" s="3"/>
      <c r="G137" s="3"/>
      <c r="H137" s="3"/>
      <c r="I137" s="3"/>
      <c r="J137" s="3"/>
      <c r="K137" s="3"/>
      <c r="L137" s="3"/>
      <c r="M137" s="3"/>
      <c r="N137" s="3"/>
      <c r="O137" s="3"/>
      <c r="P137" s="3"/>
      <c r="Q137" s="3"/>
      <c r="R137" s="3"/>
      <c r="S137" s="3"/>
    </row>
    <row r="138" spans="1:19" x14ac:dyDescent="0.15">
      <c r="A138" s="3"/>
      <c r="B138" s="3"/>
      <c r="C138" s="3"/>
      <c r="D138" s="3"/>
      <c r="E138" s="3"/>
      <c r="F138" s="3"/>
      <c r="G138" s="3"/>
      <c r="H138" s="3"/>
      <c r="I138" s="3"/>
      <c r="J138" s="3"/>
      <c r="K138" s="3"/>
      <c r="L138" s="3"/>
      <c r="M138" s="3"/>
      <c r="N138" s="3"/>
      <c r="O138" s="3"/>
      <c r="P138" s="3"/>
      <c r="Q138" s="3"/>
      <c r="R138" s="3"/>
      <c r="S138" s="3"/>
    </row>
    <row r="139" spans="1:19" x14ac:dyDescent="0.15">
      <c r="A139" s="3"/>
      <c r="B139" s="3"/>
      <c r="C139" s="3"/>
      <c r="D139" s="3"/>
      <c r="E139" s="3"/>
      <c r="F139" s="3"/>
      <c r="G139" s="3"/>
      <c r="H139" s="3"/>
      <c r="I139" s="3"/>
      <c r="J139" s="3"/>
      <c r="K139" s="3"/>
      <c r="L139" s="3"/>
      <c r="M139" s="3"/>
      <c r="N139" s="3"/>
      <c r="O139" s="3"/>
      <c r="P139" s="3"/>
      <c r="Q139" s="3"/>
      <c r="R139" s="3"/>
      <c r="S139" s="3"/>
    </row>
    <row r="140" spans="1:19" x14ac:dyDescent="0.15">
      <c r="A140" s="3"/>
      <c r="B140" s="3"/>
      <c r="C140" s="3"/>
      <c r="D140" s="3"/>
      <c r="E140" s="3"/>
      <c r="F140" s="3"/>
      <c r="G140" s="3"/>
      <c r="H140" s="3"/>
      <c r="I140" s="3"/>
      <c r="J140" s="3"/>
      <c r="K140" s="3"/>
      <c r="L140" s="3"/>
      <c r="M140" s="3"/>
      <c r="N140" s="3"/>
      <c r="O140" s="3"/>
      <c r="P140" s="3"/>
      <c r="Q140" s="3"/>
      <c r="R140" s="3"/>
      <c r="S140" s="3"/>
    </row>
    <row r="141" spans="1:19" x14ac:dyDescent="0.15">
      <c r="A141" s="3"/>
      <c r="B141" s="3"/>
      <c r="C141" s="3"/>
      <c r="D141" s="3"/>
      <c r="E141" s="3"/>
      <c r="F141" s="3"/>
      <c r="G141" s="3"/>
      <c r="H141" s="3"/>
      <c r="I141" s="3"/>
      <c r="J141" s="3"/>
      <c r="K141" s="3"/>
      <c r="L141" s="3"/>
      <c r="M141" s="3"/>
      <c r="N141" s="3"/>
      <c r="O141" s="3"/>
      <c r="P141" s="3"/>
      <c r="Q141" s="3"/>
      <c r="R141" s="3"/>
      <c r="S141" s="3"/>
    </row>
    <row r="142" spans="1:19" x14ac:dyDescent="0.15">
      <c r="A142" s="3"/>
      <c r="B142" s="3"/>
      <c r="C142" s="3"/>
      <c r="D142" s="3"/>
      <c r="E142" s="3"/>
      <c r="F142" s="3"/>
      <c r="G142" s="3"/>
      <c r="H142" s="3"/>
      <c r="I142" s="3"/>
      <c r="J142" s="3"/>
      <c r="K142" s="3"/>
      <c r="L142" s="3"/>
      <c r="M142" s="3"/>
      <c r="N142" s="3"/>
      <c r="O142" s="3"/>
      <c r="P142" s="3"/>
      <c r="Q142" s="3"/>
      <c r="R142" s="3"/>
      <c r="S142" s="3"/>
    </row>
    <row r="143" spans="1:19" x14ac:dyDescent="0.15">
      <c r="A143" s="3"/>
      <c r="B143" s="3"/>
      <c r="C143" s="3"/>
      <c r="D143" s="3"/>
      <c r="E143" s="3"/>
      <c r="F143" s="3"/>
      <c r="G143" s="3"/>
      <c r="H143" s="3"/>
      <c r="I143" s="3"/>
      <c r="J143" s="3"/>
      <c r="K143" s="3"/>
      <c r="L143" s="3"/>
      <c r="M143" s="3"/>
      <c r="N143" s="3"/>
      <c r="O143" s="3"/>
      <c r="P143" s="3"/>
      <c r="Q143" s="3"/>
      <c r="R143" s="3"/>
      <c r="S143" s="3"/>
    </row>
    <row r="144" spans="1:19" x14ac:dyDescent="0.15">
      <c r="A144" s="3"/>
      <c r="B144" s="3"/>
      <c r="C144" s="3"/>
      <c r="D144" s="3"/>
      <c r="E144" s="3"/>
      <c r="F144" s="3"/>
      <c r="G144" s="3"/>
      <c r="H144" s="3"/>
      <c r="I144" s="3"/>
      <c r="J144" s="3"/>
      <c r="K144" s="3"/>
      <c r="L144" s="3"/>
      <c r="M144" s="3"/>
      <c r="N144" s="3"/>
      <c r="O144" s="3"/>
      <c r="P144" s="3"/>
      <c r="Q144" s="3"/>
      <c r="R144" s="3"/>
      <c r="S144" s="3"/>
    </row>
    <row r="145" spans="1:19" x14ac:dyDescent="0.15">
      <c r="A145" s="3"/>
      <c r="B145" s="3"/>
      <c r="C145" s="3"/>
      <c r="D145" s="3"/>
      <c r="E145" s="3"/>
      <c r="F145" s="3"/>
      <c r="G145" s="3"/>
      <c r="H145" s="3"/>
      <c r="I145" s="3"/>
      <c r="J145" s="3"/>
      <c r="K145" s="3"/>
      <c r="L145" s="3"/>
      <c r="M145" s="3"/>
      <c r="N145" s="3"/>
      <c r="O145" s="3"/>
      <c r="P145" s="3"/>
      <c r="Q145" s="3"/>
      <c r="R145" s="3"/>
      <c r="S145" s="3"/>
    </row>
    <row r="146" spans="1:19" x14ac:dyDescent="0.15">
      <c r="A146" s="3"/>
      <c r="B146" s="3"/>
      <c r="C146" s="3"/>
      <c r="D146" s="3"/>
      <c r="E146" s="3"/>
      <c r="F146" s="3"/>
      <c r="G146" s="3"/>
      <c r="H146" s="3"/>
      <c r="I146" s="3"/>
      <c r="J146" s="3"/>
      <c r="K146" s="3"/>
      <c r="L146" s="3"/>
      <c r="M146" s="3"/>
      <c r="N146" s="3"/>
      <c r="O146" s="3"/>
      <c r="P146" s="3"/>
      <c r="Q146" s="3"/>
      <c r="R146" s="3"/>
      <c r="S146" s="3"/>
    </row>
    <row r="147" spans="1:19" x14ac:dyDescent="0.15">
      <c r="A147" s="3"/>
      <c r="B147" s="3"/>
      <c r="C147" s="3"/>
      <c r="D147" s="3"/>
      <c r="E147" s="3"/>
      <c r="F147" s="3"/>
      <c r="G147" s="3"/>
      <c r="H147" s="3"/>
      <c r="I147" s="3"/>
      <c r="J147" s="3"/>
      <c r="K147" s="3"/>
      <c r="L147" s="3"/>
      <c r="M147" s="3"/>
      <c r="N147" s="3"/>
      <c r="O147" s="3"/>
      <c r="P147" s="3"/>
      <c r="Q147" s="3"/>
      <c r="R147" s="3"/>
      <c r="S147" s="3"/>
    </row>
    <row r="148" spans="1:19" x14ac:dyDescent="0.15">
      <c r="A148" s="3"/>
      <c r="B148" s="3"/>
      <c r="C148" s="3"/>
      <c r="D148" s="3"/>
      <c r="E148" s="3"/>
      <c r="F148" s="3"/>
      <c r="G148" s="3"/>
      <c r="H148" s="3"/>
      <c r="I148" s="3"/>
      <c r="J148" s="3"/>
      <c r="K148" s="3"/>
      <c r="L148" s="3"/>
      <c r="M148" s="3"/>
      <c r="N148" s="3"/>
      <c r="O148" s="3"/>
      <c r="P148" s="3"/>
      <c r="Q148" s="3"/>
      <c r="R148" s="3"/>
      <c r="S148" s="3"/>
    </row>
    <row r="149" spans="1:19" x14ac:dyDescent="0.15">
      <c r="A149" s="3"/>
      <c r="B149" s="3"/>
      <c r="C149" s="3"/>
      <c r="D149" s="3"/>
      <c r="E149" s="3"/>
      <c r="F149" s="3"/>
      <c r="G149" s="3"/>
      <c r="H149" s="3"/>
      <c r="I149" s="3"/>
      <c r="J149" s="3"/>
      <c r="K149" s="3"/>
      <c r="L149" s="3"/>
      <c r="M149" s="3"/>
      <c r="N149" s="3"/>
      <c r="O149" s="3"/>
      <c r="P149" s="3"/>
      <c r="Q149" s="3"/>
      <c r="R149" s="3"/>
      <c r="S149" s="3"/>
    </row>
    <row r="150" spans="1:19" x14ac:dyDescent="0.15">
      <c r="A150" s="3"/>
      <c r="B150" s="3"/>
      <c r="C150" s="3"/>
      <c r="D150" s="3"/>
      <c r="E150" s="3"/>
      <c r="F150" s="3"/>
      <c r="G150" s="3"/>
      <c r="H150" s="3"/>
      <c r="I150" s="3"/>
      <c r="J150" s="3"/>
      <c r="K150" s="3"/>
      <c r="L150" s="3"/>
      <c r="M150" s="3"/>
      <c r="N150" s="3"/>
      <c r="O150" s="3"/>
      <c r="P150" s="3"/>
      <c r="Q150" s="3"/>
      <c r="R150" s="3"/>
      <c r="S150" s="3"/>
    </row>
  </sheetData>
  <phoneticPr fontId="26" type="noConversion"/>
  <hyperlinks>
    <hyperlink ref="G13" r:id="rId1" xr:uid="{00000000-0004-0000-1100-000000000000}"/>
    <hyperlink ref="G10" r:id="rId2" xr:uid="{00000000-0004-0000-1100-000001000000}"/>
    <hyperlink ref="G17" r:id="rId3" xr:uid="{00000000-0004-0000-1100-000002000000}"/>
    <hyperlink ref="G19" r:id="rId4" xr:uid="{00000000-0004-0000-1100-000003000000}"/>
    <hyperlink ref="G24" r:id="rId5" location="frequency" xr:uid="{00000000-0004-0000-1100-000004000000}"/>
    <hyperlink ref="G22" r:id="rId6" xr:uid="{00000000-0004-0000-1100-000005000000}"/>
  </hyperlinks>
  <pageMargins left="0.75" right="0.75" top="1" bottom="1" header="0.5" footer="0.5"/>
  <pageSetup paperSize="9" orientation="portrait" horizontalDpi="4294967293" verticalDpi="0"/>
  <headerFooter alignWithMargins="0"/>
  <legacyDrawing r:id="rId7"/>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indexed="47"/>
  </sheetPr>
  <dimension ref="A1:X54"/>
  <sheetViews>
    <sheetView workbookViewId="0">
      <selection activeCell="A36" sqref="A36"/>
    </sheetView>
  </sheetViews>
  <sheetFormatPr baseColWidth="10" defaultColWidth="10.6640625" defaultRowHeight="13" x14ac:dyDescent="0.15"/>
  <cols>
    <col min="1" max="10" width="8.83203125" customWidth="1"/>
    <col min="11" max="11" width="10.5" bestFit="1" customWidth="1"/>
    <col min="12" max="15" width="8.83203125" customWidth="1"/>
    <col min="16" max="16" width="1.6640625" customWidth="1"/>
    <col min="17" max="17" width="10.83203125" customWidth="1"/>
    <col min="18" max="256" width="8.83203125" customWidth="1"/>
  </cols>
  <sheetData>
    <row r="1" spans="1:24" ht="19" thickBot="1" x14ac:dyDescent="0.25">
      <c r="A1" s="119" t="s">
        <v>398</v>
      </c>
      <c r="B1" s="121"/>
      <c r="C1" s="121"/>
      <c r="D1" s="121"/>
      <c r="E1" s="121"/>
      <c r="F1" s="121"/>
      <c r="G1" s="121"/>
      <c r="H1" s="121"/>
      <c r="I1" s="121"/>
      <c r="J1" s="121"/>
      <c r="K1" s="121"/>
      <c r="L1" s="121"/>
      <c r="M1" s="121"/>
      <c r="N1" s="121"/>
      <c r="O1" s="121"/>
      <c r="P1" s="121"/>
      <c r="Q1" s="121"/>
      <c r="R1" s="121"/>
      <c r="S1" s="121"/>
      <c r="T1" s="121"/>
      <c r="U1" s="121"/>
      <c r="V1" s="121"/>
      <c r="W1" s="121"/>
      <c r="X1" s="121"/>
    </row>
    <row r="2" spans="1:24" x14ac:dyDescent="0.15">
      <c r="A2" s="3"/>
      <c r="B2" s="3"/>
      <c r="C2" s="3"/>
      <c r="D2" s="3"/>
      <c r="E2" s="3"/>
      <c r="F2" s="3"/>
      <c r="G2" s="3"/>
      <c r="H2" s="497"/>
      <c r="I2" s="497"/>
      <c r="J2" s="497"/>
      <c r="K2" s="497"/>
      <c r="L2" s="497"/>
      <c r="M2" s="497"/>
      <c r="N2" s="497"/>
      <c r="O2" s="497"/>
      <c r="P2" s="497"/>
      <c r="Q2" s="497"/>
      <c r="R2" s="497"/>
      <c r="S2" s="497"/>
      <c r="T2" s="3"/>
      <c r="U2" s="3"/>
      <c r="V2" s="3"/>
      <c r="W2" s="3"/>
      <c r="X2" s="3"/>
    </row>
    <row r="3" spans="1:24" x14ac:dyDescent="0.15">
      <c r="A3" s="3"/>
      <c r="B3" s="351" t="s">
        <v>868</v>
      </c>
      <c r="C3" s="3"/>
      <c r="D3" s="3"/>
      <c r="E3" s="3"/>
      <c r="F3" s="3"/>
      <c r="G3" s="3"/>
      <c r="H3" s="497"/>
      <c r="I3" s="497"/>
      <c r="J3" s="497"/>
      <c r="K3" s="497"/>
      <c r="L3" s="497"/>
      <c r="M3" s="497"/>
      <c r="N3" s="497"/>
      <c r="O3" s="497"/>
      <c r="P3" s="497"/>
      <c r="Q3" s="497"/>
      <c r="R3" s="497"/>
      <c r="S3" s="497"/>
      <c r="T3" s="3"/>
      <c r="U3" s="3"/>
      <c r="V3" s="3"/>
      <c r="W3" s="3"/>
      <c r="X3" s="3"/>
    </row>
    <row r="4" spans="1:24" x14ac:dyDescent="0.15">
      <c r="A4" s="3"/>
      <c r="B4" s="527"/>
      <c r="C4" s="3"/>
      <c r="D4" s="3"/>
      <c r="E4" s="3"/>
      <c r="F4" s="3"/>
      <c r="G4" s="3"/>
      <c r="H4" s="497"/>
      <c r="I4" s="497"/>
      <c r="J4" s="497"/>
      <c r="K4" s="497"/>
      <c r="L4" s="497"/>
      <c r="M4" s="497"/>
      <c r="N4" s="497"/>
      <c r="O4" s="497"/>
      <c r="P4" s="497"/>
      <c r="Q4" s="497"/>
      <c r="R4" s="497"/>
      <c r="S4" s="497"/>
      <c r="T4" s="3"/>
      <c r="U4" s="3"/>
      <c r="V4" s="3"/>
      <c r="W4" s="3"/>
      <c r="X4" s="3"/>
    </row>
    <row r="5" spans="1:24" x14ac:dyDescent="0.15">
      <c r="A5" s="3"/>
      <c r="B5" s="527"/>
      <c r="C5" s="3"/>
      <c r="D5" s="3"/>
      <c r="E5" s="3"/>
      <c r="F5" s="3"/>
      <c r="G5" s="3"/>
      <c r="H5" s="497"/>
      <c r="I5" s="497"/>
      <c r="J5" s="497"/>
      <c r="K5" s="497"/>
      <c r="L5" s="497"/>
      <c r="M5" s="497"/>
      <c r="N5" s="497"/>
      <c r="O5" s="497"/>
      <c r="P5" s="497"/>
      <c r="Q5" s="497"/>
      <c r="R5" s="497"/>
      <c r="S5" s="497"/>
      <c r="T5" s="3"/>
      <c r="U5" s="3"/>
      <c r="V5" s="3"/>
      <c r="W5" s="3"/>
      <c r="X5" s="3"/>
    </row>
    <row r="6" spans="1:24" x14ac:dyDescent="0.15">
      <c r="A6" s="3"/>
      <c r="B6" s="3"/>
      <c r="C6" s="3"/>
      <c r="D6" s="3" t="s">
        <v>225</v>
      </c>
      <c r="E6" s="3"/>
      <c r="F6" s="3"/>
      <c r="G6" s="3" t="s">
        <v>512</v>
      </c>
      <c r="H6" s="530">
        <v>2</v>
      </c>
      <c r="I6" s="285" t="s">
        <v>578</v>
      </c>
      <c r="J6" s="529"/>
      <c r="K6" s="529"/>
      <c r="L6" s="529"/>
      <c r="M6" s="529"/>
      <c r="N6" s="529"/>
      <c r="O6" s="529"/>
      <c r="P6" s="529"/>
      <c r="Q6" s="529"/>
      <c r="R6" s="529"/>
      <c r="S6" s="529"/>
      <c r="T6" s="3"/>
      <c r="U6" s="3"/>
      <c r="V6" s="3"/>
      <c r="W6" s="3"/>
      <c r="X6" s="3"/>
    </row>
    <row r="7" spans="1:24" x14ac:dyDescent="0.15">
      <c r="A7" s="3"/>
      <c r="B7" s="3"/>
      <c r="C7" s="3"/>
      <c r="D7" s="3"/>
      <c r="E7" s="3"/>
      <c r="F7" s="3"/>
      <c r="G7" s="3"/>
      <c r="H7" s="3"/>
      <c r="I7" s="3"/>
      <c r="J7" s="3"/>
      <c r="K7" s="3" t="s">
        <v>349</v>
      </c>
      <c r="L7" s="3"/>
      <c r="M7" s="3"/>
      <c r="N7" s="3"/>
      <c r="O7" s="3"/>
      <c r="P7" s="3"/>
      <c r="Q7" s="3"/>
      <c r="R7" s="3"/>
      <c r="S7" s="3"/>
      <c r="T7" s="3"/>
      <c r="U7" s="3"/>
      <c r="V7" s="3"/>
      <c r="W7" s="3"/>
      <c r="X7" s="3"/>
    </row>
    <row r="8" spans="1:24" x14ac:dyDescent="0.15">
      <c r="A8" s="3"/>
      <c r="B8" s="3"/>
      <c r="C8" s="3"/>
      <c r="D8" s="3" t="s">
        <v>224</v>
      </c>
      <c r="E8" s="3"/>
      <c r="F8" s="3"/>
      <c r="G8" s="528" t="s">
        <v>512</v>
      </c>
      <c r="H8" s="531">
        <v>1.6</v>
      </c>
      <c r="I8" s="522" t="s">
        <v>228</v>
      </c>
      <c r="J8" s="3"/>
      <c r="K8" s="33"/>
      <c r="L8" s="3"/>
      <c r="M8" s="3"/>
      <c r="N8" s="3"/>
      <c r="O8" s="3"/>
      <c r="P8" s="3"/>
      <c r="Q8" s="3"/>
      <c r="R8" s="3"/>
      <c r="S8" s="3"/>
      <c r="T8" s="3"/>
      <c r="U8" s="3"/>
      <c r="V8" s="3"/>
      <c r="W8" s="3"/>
      <c r="X8" s="3"/>
    </row>
    <row r="9" spans="1:24" x14ac:dyDescent="0.15">
      <c r="A9" s="3"/>
      <c r="B9" s="3"/>
      <c r="C9" s="3"/>
      <c r="D9" s="3"/>
      <c r="E9" s="3"/>
      <c r="F9" s="3"/>
      <c r="G9" s="3"/>
      <c r="H9" s="3"/>
      <c r="I9" s="3"/>
      <c r="J9" s="3"/>
      <c r="K9" s="3"/>
      <c r="L9" s="3"/>
      <c r="M9" s="3"/>
      <c r="N9" s="3"/>
      <c r="O9" s="3"/>
      <c r="P9" s="3"/>
      <c r="Q9" s="3"/>
      <c r="R9" s="3"/>
      <c r="S9" s="3"/>
      <c r="T9" s="3"/>
      <c r="U9" s="3"/>
      <c r="V9" s="3"/>
      <c r="W9" s="3"/>
      <c r="X9" s="3"/>
    </row>
    <row r="10" spans="1:24" x14ac:dyDescent="0.15">
      <c r="A10" s="3"/>
      <c r="B10" s="3"/>
      <c r="C10" s="3"/>
      <c r="D10" s="3" t="s">
        <v>226</v>
      </c>
      <c r="E10" s="3"/>
      <c r="F10" s="3"/>
      <c r="G10" s="3"/>
      <c r="H10" s="523">
        <f>(H6*((H8-1)^2))/((H8+1)^2)</f>
        <v>0.10650887573964499</v>
      </c>
      <c r="I10" s="185" t="s">
        <v>578</v>
      </c>
      <c r="J10" s="3"/>
      <c r="K10" s="525">
        <f>H10/H6</f>
        <v>5.3254437869822494E-2</v>
      </c>
      <c r="L10" s="3" t="s">
        <v>348</v>
      </c>
      <c r="M10" s="3"/>
      <c r="N10" s="3"/>
      <c r="O10" s="3"/>
      <c r="P10" s="3"/>
      <c r="Q10" s="3"/>
      <c r="R10" s="3"/>
      <c r="S10" s="3"/>
      <c r="T10" s="3"/>
      <c r="U10" s="3"/>
      <c r="V10" s="3"/>
      <c r="W10" s="3"/>
      <c r="X10" s="3"/>
    </row>
    <row r="11" spans="1:24" x14ac:dyDescent="0.15">
      <c r="A11" s="3"/>
      <c r="B11" s="3"/>
      <c r="C11" s="3"/>
      <c r="D11" s="3"/>
      <c r="E11" s="3"/>
      <c r="F11" s="3"/>
      <c r="G11" s="3"/>
      <c r="H11" s="3"/>
      <c r="I11" s="3"/>
      <c r="J11" s="3"/>
      <c r="K11" s="3"/>
      <c r="L11" s="3"/>
      <c r="M11" s="3"/>
      <c r="N11" s="3"/>
      <c r="O11" s="3"/>
      <c r="P11" s="3"/>
      <c r="Q11" s="3"/>
      <c r="R11" s="3"/>
      <c r="S11" s="3"/>
      <c r="T11" s="3"/>
      <c r="U11" s="3"/>
      <c r="V11" s="3"/>
      <c r="W11" s="3"/>
      <c r="X11" s="3"/>
    </row>
    <row r="12" spans="1:24" x14ac:dyDescent="0.15">
      <c r="A12" s="3"/>
      <c r="B12" s="3"/>
      <c r="C12" s="3"/>
      <c r="D12" s="3" t="s">
        <v>227</v>
      </c>
      <c r="E12" s="3"/>
      <c r="F12" s="3"/>
      <c r="G12" s="3"/>
      <c r="H12" s="523">
        <f>H6-H10</f>
        <v>1.8934911242603549</v>
      </c>
      <c r="I12" s="185" t="s">
        <v>578</v>
      </c>
      <c r="J12" s="3"/>
      <c r="K12" s="524">
        <f>1-K10</f>
        <v>0.94674556213017746</v>
      </c>
      <c r="L12" s="3" t="s">
        <v>348</v>
      </c>
      <c r="M12" s="3"/>
      <c r="N12" s="3"/>
      <c r="O12" s="3"/>
      <c r="P12" s="3"/>
      <c r="Q12" s="3"/>
      <c r="R12" s="3"/>
      <c r="S12" s="3"/>
      <c r="T12" s="3"/>
      <c r="U12" s="3"/>
      <c r="V12" s="3"/>
      <c r="W12" s="3"/>
      <c r="X12" s="3"/>
    </row>
    <row r="13" spans="1:24" x14ac:dyDescent="0.15">
      <c r="A13" s="3"/>
      <c r="B13" s="3"/>
      <c r="C13" s="3"/>
      <c r="D13" s="3"/>
      <c r="E13" s="3"/>
      <c r="F13" s="3"/>
      <c r="G13" s="3"/>
      <c r="H13" s="3"/>
      <c r="I13" s="3"/>
      <c r="J13" s="3"/>
      <c r="K13" s="3"/>
      <c r="L13" s="3"/>
      <c r="M13" s="3"/>
      <c r="N13" s="3"/>
      <c r="O13" s="3"/>
      <c r="P13" s="3"/>
      <c r="Q13" s="3"/>
      <c r="R13" s="3"/>
      <c r="S13" s="3"/>
      <c r="T13" s="3"/>
      <c r="U13" s="3"/>
      <c r="V13" s="3"/>
      <c r="W13" s="3"/>
      <c r="X13" s="3"/>
    </row>
    <row r="14" spans="1:24" x14ac:dyDescent="0.15">
      <c r="A14" s="3"/>
      <c r="B14" s="3"/>
      <c r="C14" s="3"/>
      <c r="D14" s="3" t="s">
        <v>231</v>
      </c>
      <c r="E14" s="3"/>
      <c r="F14" s="3"/>
      <c r="G14" s="3"/>
      <c r="H14" s="526">
        <f>-10*LOG10(H12/H6)</f>
        <v>0.23766721957748782</v>
      </c>
      <c r="I14" s="185" t="s">
        <v>554</v>
      </c>
      <c r="J14" s="3"/>
      <c r="K14" s="3" t="s">
        <v>229</v>
      </c>
      <c r="L14" s="3"/>
      <c r="M14" s="3"/>
      <c r="N14" s="3"/>
      <c r="O14" s="3"/>
      <c r="P14" s="3"/>
      <c r="Q14" s="3"/>
      <c r="R14" s="3"/>
      <c r="S14" s="3"/>
      <c r="T14" s="3"/>
      <c r="U14" s="3"/>
      <c r="V14" s="3"/>
      <c r="W14" s="3"/>
      <c r="X14" s="3"/>
    </row>
    <row r="15" spans="1:24" x14ac:dyDescent="0.15">
      <c r="A15" s="3"/>
      <c r="B15" s="3"/>
      <c r="C15" s="3"/>
      <c r="D15" s="3"/>
      <c r="E15" s="3"/>
      <c r="F15" s="3"/>
      <c r="G15" s="3"/>
      <c r="H15" s="529"/>
      <c r="I15" s="529"/>
      <c r="J15" s="529"/>
      <c r="K15" s="497" t="s">
        <v>230</v>
      </c>
      <c r="L15" s="529"/>
      <c r="M15" s="529"/>
      <c r="N15" s="529"/>
      <c r="O15" s="529"/>
      <c r="P15" s="529"/>
      <c r="Q15" s="529"/>
      <c r="R15" s="529"/>
      <c r="S15" s="529"/>
      <c r="T15" s="3"/>
      <c r="U15" s="3"/>
      <c r="V15" s="3"/>
      <c r="W15" s="3"/>
      <c r="X15" s="3"/>
    </row>
    <row r="16" spans="1:24" x14ac:dyDescent="0.15">
      <c r="A16" s="3"/>
      <c r="B16" s="3"/>
      <c r="C16" s="3"/>
      <c r="D16" s="3"/>
      <c r="E16" s="3"/>
      <c r="F16" s="3"/>
      <c r="G16" s="3"/>
      <c r="H16" s="529"/>
      <c r="I16" s="529"/>
      <c r="J16" s="529"/>
      <c r="K16" s="529"/>
      <c r="L16" s="529"/>
      <c r="M16" s="529"/>
      <c r="N16" s="529"/>
      <c r="O16" s="529"/>
      <c r="P16" s="529"/>
      <c r="Q16" s="529"/>
      <c r="R16" s="529"/>
      <c r="S16" s="529"/>
      <c r="T16" s="3"/>
      <c r="U16" s="3"/>
      <c r="V16" s="3"/>
      <c r="W16" s="3"/>
      <c r="X16" s="3"/>
    </row>
    <row r="17" spans="1:24" x14ac:dyDescent="0.15">
      <c r="A17" s="3"/>
      <c r="B17" s="3"/>
      <c r="C17" s="3"/>
      <c r="D17" s="3"/>
      <c r="E17" s="3"/>
      <c r="F17" s="3"/>
      <c r="G17" s="3"/>
      <c r="H17" s="529"/>
      <c r="I17" s="529"/>
      <c r="J17" s="529"/>
      <c r="K17" s="529"/>
      <c r="L17" s="529"/>
      <c r="M17" s="529"/>
      <c r="N17" s="529"/>
      <c r="O17" s="529"/>
      <c r="P17" s="529"/>
      <c r="Q17" s="529"/>
      <c r="R17" s="529"/>
      <c r="S17" s="529"/>
      <c r="T17" s="3"/>
      <c r="U17" s="38" t="s">
        <v>344</v>
      </c>
      <c r="V17" s="38"/>
      <c r="W17" s="38"/>
      <c r="X17" s="3"/>
    </row>
    <row r="18" spans="1:24" x14ac:dyDescent="0.15">
      <c r="A18" s="3"/>
      <c r="B18" s="3"/>
      <c r="C18" s="3"/>
      <c r="D18" s="3"/>
      <c r="E18" s="3"/>
      <c r="F18" s="3"/>
      <c r="G18" s="3"/>
      <c r="H18" s="529"/>
      <c r="I18" s="529"/>
      <c r="J18" s="529"/>
      <c r="K18" s="529"/>
      <c r="L18" s="529"/>
      <c r="M18" s="529"/>
      <c r="N18" s="529"/>
      <c r="O18" s="529"/>
      <c r="P18" s="529"/>
      <c r="Q18" s="529"/>
      <c r="R18" s="529"/>
      <c r="S18" s="529"/>
      <c r="T18" s="3"/>
      <c r="U18" s="3" t="s">
        <v>350</v>
      </c>
      <c r="V18" s="34">
        <f>SQRT(O19^2+Q19^2)</f>
        <v>50</v>
      </c>
      <c r="W18" s="596" t="s">
        <v>345</v>
      </c>
      <c r="X18" s="3"/>
    </row>
    <row r="19" spans="1:24" x14ac:dyDescent="0.15">
      <c r="A19" s="3"/>
      <c r="B19" s="3"/>
      <c r="C19" s="3"/>
      <c r="D19" s="3"/>
      <c r="E19" s="3"/>
      <c r="F19" s="3"/>
      <c r="G19" s="3"/>
      <c r="H19" s="529"/>
      <c r="I19" s="529"/>
      <c r="J19" s="529"/>
      <c r="K19" s="529"/>
      <c r="L19" s="529"/>
      <c r="M19" s="90" t="s">
        <v>267</v>
      </c>
      <c r="N19" s="529"/>
      <c r="O19" s="262">
        <v>50</v>
      </c>
      <c r="P19" s="593" t="s">
        <v>607</v>
      </c>
      <c r="Q19" s="594">
        <v>0</v>
      </c>
      <c r="R19" s="529"/>
      <c r="S19" s="529"/>
      <c r="T19" s="3"/>
      <c r="U19" s="3"/>
      <c r="V19" s="34"/>
      <c r="W19" s="3"/>
      <c r="X19" s="3"/>
    </row>
    <row r="20" spans="1:24" x14ac:dyDescent="0.15">
      <c r="A20" s="3"/>
      <c r="B20" s="3"/>
      <c r="C20" s="3"/>
      <c r="D20" s="3"/>
      <c r="E20" s="3"/>
      <c r="F20" s="3"/>
      <c r="G20" s="3"/>
      <c r="H20" s="529"/>
      <c r="I20" s="529"/>
      <c r="J20" s="529"/>
      <c r="K20" s="529"/>
      <c r="L20" s="529"/>
      <c r="M20" s="529"/>
      <c r="N20" s="529"/>
      <c r="O20" s="529"/>
      <c r="P20" s="529"/>
      <c r="Q20" s="497"/>
      <c r="R20" s="529"/>
      <c r="S20" s="529"/>
      <c r="T20" s="3"/>
      <c r="U20" s="3" t="s">
        <v>351</v>
      </c>
      <c r="V20" s="34">
        <f>SQRT(O21^2+Q21^2)</f>
        <v>79.05694150420949</v>
      </c>
      <c r="W20" s="596" t="s">
        <v>345</v>
      </c>
      <c r="X20" s="3"/>
    </row>
    <row r="21" spans="1:24" x14ac:dyDescent="0.15">
      <c r="A21" s="3"/>
      <c r="B21" s="3"/>
      <c r="C21" s="3"/>
      <c r="D21" s="3"/>
      <c r="E21" s="3"/>
      <c r="F21" s="3"/>
      <c r="G21" s="3"/>
      <c r="H21" s="529"/>
      <c r="I21" s="529"/>
      <c r="J21" s="529"/>
      <c r="K21" s="529"/>
      <c r="L21" s="529"/>
      <c r="M21" s="90" t="s">
        <v>268</v>
      </c>
      <c r="N21" s="529"/>
      <c r="O21" s="262">
        <v>75</v>
      </c>
      <c r="P21" s="593" t="s">
        <v>607</v>
      </c>
      <c r="Q21" s="594">
        <v>-25</v>
      </c>
      <c r="R21" s="529"/>
      <c r="S21" s="529"/>
      <c r="T21" s="3"/>
      <c r="U21" s="3"/>
      <c r="V21" s="3"/>
      <c r="W21" s="3"/>
      <c r="X21" s="3"/>
    </row>
    <row r="22" spans="1:24" x14ac:dyDescent="0.15">
      <c r="A22" s="3"/>
      <c r="B22" s="3"/>
      <c r="C22" s="3"/>
      <c r="D22" s="3"/>
      <c r="E22" s="3"/>
      <c r="F22" s="3"/>
      <c r="G22" s="3"/>
      <c r="H22" s="529"/>
      <c r="I22" s="529"/>
      <c r="J22" s="529"/>
      <c r="K22" s="529"/>
      <c r="L22" s="529"/>
      <c r="M22" s="529"/>
      <c r="N22" s="529"/>
      <c r="O22" s="529"/>
      <c r="P22" s="529"/>
      <c r="Q22" s="529"/>
      <c r="R22" s="529"/>
      <c r="S22" s="529"/>
      <c r="T22" s="3"/>
      <c r="U22" s="3"/>
      <c r="V22" s="351" t="s">
        <v>868</v>
      </c>
      <c r="W22" s="3"/>
      <c r="X22" s="3"/>
    </row>
    <row r="23" spans="1:24" x14ac:dyDescent="0.15">
      <c r="A23" s="3"/>
      <c r="B23" s="3"/>
      <c r="C23" s="3"/>
      <c r="D23" s="3"/>
      <c r="E23" s="3"/>
      <c r="F23" s="3"/>
      <c r="G23" s="3"/>
      <c r="H23" s="529"/>
      <c r="I23" s="529"/>
      <c r="J23" s="529"/>
      <c r="K23" s="529"/>
      <c r="L23" s="529"/>
      <c r="M23" s="90" t="s">
        <v>234</v>
      </c>
      <c r="N23" s="529"/>
      <c r="O23" s="705">
        <f>IF(V18&gt;V20, V18/V20, V20/V18)</f>
        <v>1.5811388300841898</v>
      </c>
      <c r="P23" s="231"/>
      <c r="Q23" s="529"/>
      <c r="R23" s="529"/>
      <c r="S23" s="529"/>
      <c r="T23" s="3"/>
      <c r="U23" s="3"/>
      <c r="V23" s="3"/>
      <c r="W23" s="3"/>
      <c r="X23" s="3"/>
    </row>
    <row r="24" spans="1:24" x14ac:dyDescent="0.15">
      <c r="A24" s="3"/>
      <c r="B24" s="3"/>
      <c r="C24" s="3"/>
      <c r="D24" s="3"/>
      <c r="E24" s="3"/>
      <c r="F24" s="3"/>
      <c r="G24" s="3"/>
      <c r="H24" s="529"/>
      <c r="I24" s="529"/>
      <c r="J24" s="529"/>
      <c r="K24" s="529"/>
      <c r="L24" s="529"/>
      <c r="M24" s="529"/>
      <c r="N24" s="529"/>
      <c r="O24" s="529"/>
      <c r="P24" s="529"/>
      <c r="Q24" s="90" t="s">
        <v>346</v>
      </c>
      <c r="R24" s="529"/>
      <c r="S24" s="529"/>
      <c r="T24" s="3"/>
      <c r="U24" s="3"/>
      <c r="V24" s="3"/>
      <c r="W24" s="3"/>
      <c r="X24" s="3"/>
    </row>
    <row r="25" spans="1:24" x14ac:dyDescent="0.15">
      <c r="A25" s="3"/>
      <c r="B25" s="3"/>
      <c r="C25" s="3"/>
      <c r="D25" s="3"/>
      <c r="E25" s="3"/>
      <c r="F25" s="3"/>
      <c r="G25" s="3"/>
      <c r="H25" s="529"/>
      <c r="I25" s="529"/>
      <c r="J25" s="529"/>
      <c r="K25" s="529"/>
      <c r="L25" s="529"/>
      <c r="M25" s="529"/>
      <c r="N25" s="529"/>
      <c r="O25" s="529"/>
      <c r="P25" s="529"/>
      <c r="Q25" s="529"/>
      <c r="R25" s="529"/>
      <c r="S25" s="529"/>
      <c r="T25" s="3"/>
      <c r="U25" s="3"/>
      <c r="V25" s="3"/>
      <c r="W25" s="3"/>
      <c r="X25" s="3"/>
    </row>
    <row r="26" spans="1:24" x14ac:dyDescent="0.15">
      <c r="A26" s="3"/>
      <c r="B26" s="3"/>
      <c r="C26" s="3"/>
      <c r="D26" s="3"/>
      <c r="E26" s="3"/>
      <c r="F26" s="3"/>
      <c r="G26" s="3"/>
      <c r="H26" s="529"/>
      <c r="I26" s="529"/>
      <c r="J26" s="529"/>
      <c r="K26" s="529"/>
      <c r="L26" s="529"/>
      <c r="M26" s="529"/>
      <c r="N26" s="529"/>
      <c r="O26" s="529"/>
      <c r="P26" s="529"/>
      <c r="Q26" s="529"/>
      <c r="R26" s="529"/>
      <c r="S26" s="529"/>
      <c r="T26" s="3"/>
      <c r="U26" s="3"/>
      <c r="V26" s="3"/>
      <c r="W26" s="3"/>
      <c r="X26" s="3"/>
    </row>
    <row r="27" spans="1:24" x14ac:dyDescent="0.15">
      <c r="A27" s="3"/>
      <c r="B27" s="3"/>
      <c r="C27" s="3"/>
      <c r="D27" s="3"/>
      <c r="E27" s="3"/>
      <c r="F27" s="3"/>
      <c r="G27" s="3"/>
      <c r="H27" s="529"/>
      <c r="I27" s="529"/>
      <c r="J27" s="529"/>
      <c r="K27" s="529"/>
      <c r="L27" s="529"/>
      <c r="M27" s="529"/>
      <c r="N27" s="529"/>
      <c r="O27" s="529"/>
      <c r="P27" s="529"/>
      <c r="Q27" s="529"/>
      <c r="R27" s="497" t="s">
        <v>1001</v>
      </c>
      <c r="S27" s="529"/>
      <c r="T27" s="3"/>
      <c r="U27" s="3"/>
      <c r="V27" s="3"/>
      <c r="W27" s="3"/>
      <c r="X27" s="3"/>
    </row>
    <row r="28" spans="1:24" x14ac:dyDescent="0.15">
      <c r="A28" s="3"/>
      <c r="B28" s="3"/>
      <c r="C28" s="3"/>
      <c r="D28" s="3"/>
      <c r="E28" s="3"/>
      <c r="F28" s="3"/>
      <c r="G28" s="3"/>
      <c r="H28" s="529"/>
      <c r="I28" s="529"/>
      <c r="J28" s="529"/>
      <c r="K28" s="529"/>
      <c r="L28" s="529"/>
      <c r="M28" s="529"/>
      <c r="N28" s="529"/>
      <c r="O28" s="529"/>
      <c r="P28" s="529"/>
      <c r="Q28" s="529"/>
      <c r="R28" s="497" t="s">
        <v>512</v>
      </c>
      <c r="S28" s="529"/>
      <c r="T28" s="3"/>
      <c r="U28" s="3"/>
      <c r="V28" s="3"/>
      <c r="W28" s="3"/>
      <c r="X28" s="3"/>
    </row>
    <row r="29" spans="1:24" x14ac:dyDescent="0.15">
      <c r="A29" s="3"/>
      <c r="B29" s="3"/>
      <c r="C29" s="3"/>
      <c r="D29" s="3"/>
      <c r="E29" s="3"/>
      <c r="F29" s="3"/>
      <c r="G29" s="3"/>
      <c r="H29" s="529"/>
      <c r="I29" s="529"/>
      <c r="J29" s="529"/>
      <c r="K29" s="529"/>
      <c r="L29" s="529"/>
      <c r="M29" s="529"/>
      <c r="N29" s="529"/>
      <c r="O29" s="529"/>
      <c r="P29" s="529"/>
      <c r="Q29" s="529"/>
      <c r="R29" s="529"/>
      <c r="S29" s="529"/>
      <c r="T29" s="3"/>
      <c r="U29" s="3"/>
      <c r="V29" s="3"/>
      <c r="W29" s="3"/>
      <c r="X29" s="3"/>
    </row>
    <row r="30" spans="1:24" x14ac:dyDescent="0.15">
      <c r="A30" s="3"/>
      <c r="B30" s="3"/>
      <c r="C30" s="3"/>
      <c r="D30" s="3"/>
      <c r="E30" s="3"/>
      <c r="F30" s="3"/>
      <c r="G30" s="3"/>
      <c r="H30" s="529"/>
      <c r="I30" s="529"/>
      <c r="J30" s="529"/>
      <c r="K30" s="529"/>
      <c r="L30" s="529"/>
      <c r="M30" s="529"/>
      <c r="N30" s="529"/>
      <c r="O30" s="529"/>
      <c r="P30" s="529"/>
      <c r="Q30" s="497" t="s">
        <v>347</v>
      </c>
      <c r="R30" s="529"/>
      <c r="S30" s="529"/>
      <c r="T30" s="3"/>
      <c r="U30" s="3"/>
      <c r="V30" s="3"/>
      <c r="W30" s="3"/>
      <c r="X30" s="3"/>
    </row>
    <row r="31" spans="1:24" x14ac:dyDescent="0.15">
      <c r="A31" s="3"/>
      <c r="B31" s="3"/>
      <c r="C31" s="3"/>
      <c r="D31" s="3"/>
      <c r="E31" s="3"/>
      <c r="F31" s="3"/>
      <c r="G31" s="3"/>
      <c r="H31" s="529"/>
      <c r="I31" s="529"/>
      <c r="J31" s="529"/>
      <c r="K31" s="529"/>
      <c r="L31" s="529"/>
      <c r="M31" s="529"/>
      <c r="N31" s="529"/>
      <c r="O31" s="529"/>
      <c r="P31" s="529"/>
      <c r="Q31" s="529"/>
      <c r="R31" s="529"/>
      <c r="S31" s="529"/>
      <c r="T31" s="3"/>
      <c r="U31" s="3"/>
      <c r="V31" s="3"/>
      <c r="W31" s="3"/>
      <c r="X31" s="3"/>
    </row>
    <row r="32" spans="1:24" x14ac:dyDescent="0.15">
      <c r="A32" s="3"/>
      <c r="B32" s="3"/>
      <c r="C32" s="3"/>
      <c r="D32" s="3"/>
      <c r="E32" s="3"/>
      <c r="F32" s="3"/>
      <c r="G32" s="3"/>
      <c r="H32" s="529"/>
      <c r="I32" s="529"/>
      <c r="J32" s="529"/>
      <c r="K32" s="529"/>
      <c r="L32" s="529"/>
      <c r="M32" s="497" t="s">
        <v>232</v>
      </c>
      <c r="N32" s="497"/>
      <c r="O32" s="497"/>
      <c r="P32" s="497"/>
      <c r="Q32" s="532">
        <v>5</v>
      </c>
      <c r="R32" s="497"/>
      <c r="S32" s="529"/>
      <c r="T32" s="3"/>
      <c r="U32" s="3"/>
      <c r="V32" s="3"/>
      <c r="W32" s="3"/>
      <c r="X32" s="3"/>
    </row>
    <row r="33" spans="1:24" x14ac:dyDescent="0.15">
      <c r="A33" s="3"/>
      <c r="B33" s="3"/>
      <c r="C33" s="3"/>
      <c r="D33" s="3"/>
      <c r="E33" s="3"/>
      <c r="F33" s="3"/>
      <c r="G33" s="3"/>
      <c r="H33" s="529"/>
      <c r="I33" s="529"/>
      <c r="J33" s="529"/>
      <c r="K33" s="529"/>
      <c r="L33" s="529"/>
      <c r="M33" s="497"/>
      <c r="N33" s="497"/>
      <c r="O33" s="497"/>
      <c r="P33" s="497"/>
      <c r="Q33" s="497"/>
      <c r="R33" s="497"/>
      <c r="S33" s="529"/>
      <c r="T33" s="3"/>
      <c r="U33" s="3"/>
      <c r="V33" s="3"/>
      <c r="W33" s="3"/>
      <c r="X33" s="3"/>
    </row>
    <row r="34" spans="1:24" x14ac:dyDescent="0.15">
      <c r="A34" s="3"/>
      <c r="B34" s="3"/>
      <c r="C34" s="3"/>
      <c r="D34" s="3"/>
      <c r="E34" s="3"/>
      <c r="F34" s="3"/>
      <c r="G34" s="3"/>
      <c r="H34" s="529"/>
      <c r="I34" s="529"/>
      <c r="J34" s="529"/>
      <c r="K34" s="529"/>
      <c r="L34" s="529"/>
      <c r="M34" s="497" t="s">
        <v>233</v>
      </c>
      <c r="N34" s="497"/>
      <c r="O34" s="497"/>
      <c r="P34" s="497"/>
      <c r="Q34" s="752">
        <v>0.25</v>
      </c>
      <c r="R34" s="497"/>
      <c r="S34" s="529"/>
      <c r="T34" s="3"/>
      <c r="U34" s="3"/>
      <c r="V34" s="3"/>
      <c r="W34" s="3"/>
      <c r="X34" s="3"/>
    </row>
    <row r="35" spans="1:24" x14ac:dyDescent="0.15">
      <c r="A35" s="3"/>
      <c r="B35" s="3"/>
      <c r="C35" s="3"/>
      <c r="D35" s="3"/>
      <c r="E35" s="3"/>
      <c r="F35" s="3"/>
      <c r="G35" s="3"/>
      <c r="H35" s="529"/>
      <c r="I35" s="529"/>
      <c r="J35" s="529"/>
      <c r="K35" s="529"/>
      <c r="L35" s="529"/>
      <c r="M35" s="497"/>
      <c r="N35" s="497"/>
      <c r="O35" s="497"/>
      <c r="P35" s="497"/>
      <c r="Q35" s="497"/>
      <c r="R35" s="497"/>
      <c r="S35" s="529"/>
      <c r="T35" s="3"/>
      <c r="U35" s="3"/>
      <c r="V35" s="3"/>
      <c r="W35" s="3"/>
      <c r="X35" s="3"/>
    </row>
    <row r="36" spans="1:24" x14ac:dyDescent="0.15">
      <c r="A36" s="3"/>
      <c r="B36" s="3"/>
      <c r="C36" s="3"/>
      <c r="D36" s="3"/>
      <c r="E36" s="3"/>
      <c r="F36" s="3"/>
      <c r="G36" s="3"/>
      <c r="H36" s="529"/>
      <c r="I36" s="529"/>
      <c r="J36" s="529"/>
      <c r="K36" s="529"/>
      <c r="L36" s="529"/>
      <c r="M36" s="497" t="s">
        <v>234</v>
      </c>
      <c r="N36" s="497"/>
      <c r="O36" s="497"/>
      <c r="P36" s="497"/>
      <c r="Q36" s="705">
        <f>(SQRT(Q32)+SQRT(Q34))/(SQRT(Q32)-SQRT(Q34))</f>
        <v>1.5760143110525873</v>
      </c>
      <c r="R36" s="497"/>
      <c r="S36" s="529"/>
      <c r="T36" s="3"/>
      <c r="U36" s="3"/>
      <c r="V36" s="3"/>
      <c r="W36" s="3"/>
      <c r="X36" s="3"/>
    </row>
    <row r="37" spans="1:24" x14ac:dyDescent="0.15">
      <c r="A37" s="3"/>
      <c r="B37" s="3"/>
      <c r="C37" s="3"/>
      <c r="D37" s="3"/>
      <c r="E37" s="3"/>
      <c r="F37" s="3"/>
      <c r="G37" s="3"/>
      <c r="H37" s="529"/>
      <c r="I37" s="529"/>
      <c r="J37" s="529"/>
      <c r="K37" s="529"/>
      <c r="L37" s="529"/>
      <c r="M37" s="497"/>
      <c r="N37" s="497"/>
      <c r="O37" s="497"/>
      <c r="P37" s="497"/>
      <c r="Q37" s="497"/>
      <c r="R37" s="497"/>
      <c r="S37" s="529"/>
      <c r="T37" s="3"/>
      <c r="U37" s="3"/>
      <c r="V37" s="3"/>
      <c r="W37" s="3"/>
      <c r="X37" s="3"/>
    </row>
    <row r="38" spans="1:24" x14ac:dyDescent="0.15">
      <c r="A38" s="3"/>
      <c r="B38" s="3"/>
      <c r="C38" s="3"/>
      <c r="D38" s="3"/>
      <c r="E38" s="3"/>
      <c r="F38" s="3"/>
      <c r="G38" s="3"/>
      <c r="H38" s="529"/>
      <c r="I38" s="529"/>
      <c r="J38" s="529"/>
      <c r="K38" s="529"/>
      <c r="L38" s="529"/>
      <c r="M38" s="497"/>
      <c r="N38" s="497"/>
      <c r="O38" s="497"/>
      <c r="P38" s="497"/>
      <c r="Q38" s="497"/>
      <c r="R38" s="497"/>
      <c r="S38" s="529"/>
      <c r="T38" s="3"/>
      <c r="U38" s="3"/>
      <c r="V38" s="3"/>
      <c r="W38" s="3"/>
      <c r="X38" s="3"/>
    </row>
    <row r="39" spans="1:24" x14ac:dyDescent="0.15">
      <c r="A39" s="3"/>
      <c r="B39" s="3"/>
      <c r="C39" s="3"/>
      <c r="D39" s="3"/>
      <c r="E39" s="3"/>
      <c r="F39" s="3"/>
      <c r="G39" s="3"/>
      <c r="H39" s="529"/>
      <c r="I39" s="529"/>
      <c r="J39" s="529"/>
      <c r="K39" s="529"/>
      <c r="L39" s="529"/>
      <c r="M39" s="497"/>
      <c r="N39" s="497"/>
      <c r="O39" s="497"/>
      <c r="P39" s="497"/>
      <c r="Q39" s="529"/>
      <c r="R39" s="529"/>
      <c r="S39" s="529"/>
      <c r="T39" s="3"/>
      <c r="U39" s="3"/>
      <c r="V39" s="3"/>
      <c r="W39" s="3"/>
      <c r="X39" s="3"/>
    </row>
    <row r="40" spans="1:24" x14ac:dyDescent="0.15">
      <c r="A40" s="3"/>
      <c r="B40" s="3"/>
      <c r="C40" s="3"/>
      <c r="D40" s="3"/>
      <c r="E40" s="3"/>
      <c r="F40" s="3"/>
      <c r="G40" s="3"/>
      <c r="H40" s="529"/>
      <c r="I40" s="529"/>
      <c r="J40" s="529"/>
      <c r="K40" s="529"/>
      <c r="L40" s="529"/>
      <c r="M40" s="497"/>
      <c r="N40" s="497"/>
      <c r="O40" s="497"/>
      <c r="P40" s="497"/>
      <c r="Q40" s="529"/>
      <c r="R40" s="529"/>
      <c r="S40" s="529"/>
      <c r="T40" s="3"/>
      <c r="U40" s="3"/>
      <c r="V40" s="3"/>
      <c r="W40" s="3"/>
      <c r="X40" s="3"/>
    </row>
    <row r="41" spans="1:24" x14ac:dyDescent="0.15">
      <c r="A41" s="3"/>
      <c r="B41" s="3"/>
      <c r="C41" s="3"/>
      <c r="D41" s="3"/>
      <c r="E41" s="3"/>
      <c r="F41" s="3"/>
      <c r="G41" s="3"/>
      <c r="H41" s="529"/>
      <c r="I41" s="529"/>
      <c r="J41" s="529"/>
      <c r="K41" s="529"/>
      <c r="L41" s="529"/>
      <c r="M41" s="529"/>
      <c r="N41" s="529"/>
      <c r="O41" s="529"/>
      <c r="P41" s="529"/>
      <c r="Q41" s="529"/>
      <c r="R41" s="529"/>
      <c r="S41" s="529"/>
      <c r="T41" s="3"/>
      <c r="U41" s="3"/>
      <c r="V41" s="3"/>
      <c r="W41" s="3"/>
      <c r="X41" s="3"/>
    </row>
    <row r="42" spans="1:24" x14ac:dyDescent="0.15">
      <c r="A42" s="3"/>
      <c r="B42" s="3"/>
      <c r="C42" s="3"/>
      <c r="D42" s="3"/>
      <c r="E42" s="3"/>
      <c r="F42" s="3"/>
      <c r="G42" s="351" t="s">
        <v>868</v>
      </c>
      <c r="H42" s="529"/>
      <c r="I42" s="529"/>
      <c r="J42" s="529"/>
      <c r="K42" s="529"/>
      <c r="L42" s="529"/>
      <c r="M42" s="529"/>
      <c r="N42" s="529"/>
      <c r="O42" s="529"/>
      <c r="P42" s="529"/>
      <c r="Q42" s="529"/>
      <c r="R42" s="529"/>
      <c r="S42" s="529"/>
      <c r="T42" s="3"/>
      <c r="U42" s="3"/>
      <c r="V42" s="3"/>
      <c r="W42" s="3"/>
      <c r="X42" s="3"/>
    </row>
    <row r="43" spans="1:24" x14ac:dyDescent="0.15">
      <c r="A43" s="3"/>
      <c r="B43" s="3"/>
      <c r="C43" s="3"/>
      <c r="D43" s="3"/>
      <c r="E43" s="3"/>
      <c r="F43" s="3"/>
      <c r="G43" s="3"/>
      <c r="H43" s="529"/>
      <c r="I43" s="529"/>
      <c r="J43" s="529"/>
      <c r="K43" s="529"/>
      <c r="L43" s="529"/>
      <c r="M43" s="529"/>
      <c r="N43" s="529"/>
      <c r="O43" s="529"/>
      <c r="P43" s="529"/>
      <c r="Q43" s="529"/>
      <c r="R43" s="529"/>
      <c r="S43" s="529"/>
      <c r="T43" s="3"/>
      <c r="U43" s="3"/>
      <c r="V43" s="3"/>
      <c r="W43" s="3"/>
      <c r="X43" s="3"/>
    </row>
    <row r="44" spans="1:24" x14ac:dyDescent="0.15">
      <c r="A44" s="3"/>
      <c r="B44" s="3"/>
      <c r="C44" s="3"/>
      <c r="D44" s="3"/>
      <c r="E44" s="3"/>
      <c r="F44" s="3"/>
      <c r="G44" s="3"/>
      <c r="H44" s="529"/>
      <c r="I44" s="529"/>
      <c r="J44" s="529"/>
      <c r="K44" s="529"/>
      <c r="L44" s="529"/>
      <c r="M44" s="529"/>
      <c r="N44" s="529"/>
      <c r="O44" s="529"/>
      <c r="P44" s="529"/>
      <c r="Q44" s="529"/>
      <c r="R44" s="529"/>
      <c r="S44" s="529"/>
      <c r="T44" s="3"/>
      <c r="U44" s="3"/>
      <c r="V44" s="3"/>
      <c r="W44" s="3"/>
      <c r="X44" s="3"/>
    </row>
    <row r="45" spans="1:24" x14ac:dyDescent="0.15">
      <c r="A45" s="3"/>
      <c r="B45" s="3"/>
      <c r="C45" s="3"/>
      <c r="D45" s="3"/>
      <c r="E45" s="3"/>
      <c r="F45" s="3"/>
      <c r="G45" s="3"/>
      <c r="H45" s="529"/>
      <c r="I45" s="529"/>
      <c r="J45" s="529"/>
      <c r="K45" s="529"/>
      <c r="L45" s="529"/>
      <c r="M45" s="529"/>
      <c r="N45" s="529"/>
      <c r="O45" s="529"/>
      <c r="P45" s="529"/>
      <c r="Q45" s="529"/>
      <c r="R45" s="529"/>
      <c r="S45" s="529"/>
      <c r="T45" s="3"/>
      <c r="U45" s="3"/>
      <c r="V45" s="3"/>
      <c r="W45" s="3"/>
      <c r="X45" s="3"/>
    </row>
    <row r="46" spans="1:24" x14ac:dyDescent="0.15">
      <c r="A46" s="3"/>
      <c r="B46" s="3"/>
      <c r="C46" s="3"/>
      <c r="D46" s="3"/>
      <c r="E46" s="3"/>
      <c r="F46" s="3"/>
      <c r="G46" s="3"/>
      <c r="H46" s="529"/>
      <c r="I46" s="529"/>
      <c r="J46" s="529"/>
      <c r="K46" s="529"/>
      <c r="L46" s="529"/>
      <c r="M46" s="529"/>
      <c r="N46" s="529"/>
      <c r="O46" s="529"/>
      <c r="P46" s="529"/>
      <c r="Q46" s="529"/>
      <c r="R46" s="529"/>
      <c r="S46" s="529"/>
      <c r="T46" s="3"/>
      <c r="U46" s="3"/>
      <c r="V46" s="3"/>
      <c r="W46" s="3"/>
      <c r="X46" s="3"/>
    </row>
    <row r="47" spans="1:24" x14ac:dyDescent="0.15">
      <c r="A47" s="3"/>
      <c r="B47" s="3"/>
      <c r="C47" s="3"/>
      <c r="D47" s="3"/>
      <c r="E47" s="3"/>
      <c r="F47" s="3"/>
      <c r="G47" s="3"/>
      <c r="H47" s="529"/>
      <c r="I47" s="529"/>
      <c r="J47" s="529"/>
      <c r="K47" s="529"/>
      <c r="L47" s="529"/>
      <c r="M47" s="529"/>
      <c r="N47" s="529"/>
      <c r="O47" s="529"/>
      <c r="P47" s="529"/>
      <c r="Q47" s="529"/>
      <c r="R47" s="529"/>
      <c r="S47" s="529"/>
      <c r="T47" s="3"/>
      <c r="U47" s="3"/>
      <c r="V47" s="3"/>
      <c r="W47" s="3"/>
      <c r="X47" s="3"/>
    </row>
    <row r="48" spans="1:24" x14ac:dyDescent="0.15">
      <c r="A48" s="3"/>
      <c r="B48" s="3"/>
      <c r="C48" s="3"/>
      <c r="D48" s="3"/>
      <c r="E48" s="3"/>
      <c r="F48" s="3"/>
      <c r="G48" s="3"/>
      <c r="H48" s="529"/>
      <c r="I48" s="529"/>
      <c r="J48" s="529"/>
      <c r="K48" s="529"/>
      <c r="L48" s="529"/>
      <c r="M48" s="529"/>
      <c r="N48" s="529"/>
      <c r="O48" s="529"/>
      <c r="P48" s="529"/>
      <c r="Q48" s="529"/>
      <c r="R48" s="529"/>
      <c r="S48" s="529"/>
      <c r="T48" s="3"/>
      <c r="U48" s="3"/>
      <c r="V48" s="3"/>
      <c r="W48" s="3"/>
      <c r="X48" s="3"/>
    </row>
    <row r="49" spans="1:24" x14ac:dyDescent="0.15">
      <c r="A49" s="3"/>
      <c r="B49" s="3"/>
      <c r="C49" s="3"/>
      <c r="D49" s="3"/>
      <c r="E49" s="3"/>
      <c r="F49" s="3"/>
      <c r="G49" s="3"/>
      <c r="H49" s="529"/>
      <c r="I49" s="529"/>
      <c r="J49" s="529"/>
      <c r="K49" s="529"/>
      <c r="L49" s="529"/>
      <c r="M49" s="529"/>
      <c r="N49" s="529"/>
      <c r="O49" s="529"/>
      <c r="P49" s="529"/>
      <c r="Q49" s="529"/>
      <c r="R49" s="529"/>
      <c r="S49" s="529"/>
      <c r="T49" s="3"/>
      <c r="U49" s="3"/>
      <c r="V49" s="3"/>
      <c r="W49" s="3"/>
      <c r="X49" s="3"/>
    </row>
    <row r="50" spans="1:24" x14ac:dyDescent="0.15">
      <c r="A50" s="3"/>
      <c r="B50" s="3"/>
      <c r="C50" s="3"/>
      <c r="D50" s="3"/>
      <c r="E50" s="3"/>
      <c r="F50" s="3"/>
      <c r="G50" s="3"/>
      <c r="H50" s="529"/>
      <c r="I50" s="529"/>
      <c r="J50" s="529"/>
      <c r="K50" s="529"/>
      <c r="L50" s="529"/>
      <c r="M50" s="529"/>
      <c r="N50" s="529"/>
      <c r="O50" s="529"/>
      <c r="P50" s="529"/>
      <c r="Q50" s="529"/>
      <c r="R50" s="529"/>
      <c r="S50" s="529"/>
      <c r="T50" s="3"/>
      <c r="U50" s="3"/>
      <c r="V50" s="3"/>
      <c r="W50" s="3"/>
      <c r="X50" s="3"/>
    </row>
    <row r="51" spans="1:24" x14ac:dyDescent="0.15">
      <c r="A51" s="3"/>
      <c r="B51" s="3"/>
      <c r="C51" s="3"/>
      <c r="D51" s="3"/>
      <c r="E51" s="3"/>
      <c r="F51" s="3"/>
      <c r="G51" s="3"/>
      <c r="H51" s="529"/>
      <c r="I51" s="529"/>
      <c r="J51" s="529"/>
      <c r="K51" s="529"/>
      <c r="L51" s="529"/>
      <c r="M51" s="529"/>
      <c r="N51" s="529"/>
      <c r="O51" s="529"/>
      <c r="P51" s="529"/>
      <c r="Q51" s="529"/>
      <c r="R51" s="529"/>
      <c r="S51" s="529"/>
      <c r="T51" s="3"/>
      <c r="U51" s="3"/>
      <c r="V51" s="3"/>
      <c r="W51" s="3"/>
      <c r="X51" s="3"/>
    </row>
    <row r="52" spans="1:24" x14ac:dyDescent="0.15">
      <c r="A52" s="3"/>
      <c r="B52" s="3"/>
      <c r="C52" s="3"/>
      <c r="D52" s="3"/>
      <c r="E52" s="3"/>
      <c r="F52" s="3"/>
      <c r="G52" s="3"/>
      <c r="H52" s="529"/>
      <c r="I52" s="529"/>
      <c r="J52" s="529"/>
      <c r="K52" s="529"/>
      <c r="L52" s="529"/>
      <c r="M52" s="529"/>
      <c r="N52" s="529"/>
      <c r="O52" s="529"/>
      <c r="P52" s="529"/>
      <c r="Q52" s="529"/>
      <c r="R52" s="529"/>
      <c r="S52" s="529"/>
      <c r="T52" s="3"/>
      <c r="U52" s="3"/>
      <c r="V52" s="3"/>
      <c r="W52" s="3"/>
      <c r="X52" s="3"/>
    </row>
    <row r="53" spans="1:24" x14ac:dyDescent="0.15">
      <c r="A53" s="3"/>
      <c r="B53" s="3"/>
      <c r="C53" s="3"/>
      <c r="D53" s="3"/>
      <c r="E53" s="3"/>
      <c r="F53" s="3"/>
      <c r="G53" s="3"/>
      <c r="H53" s="529"/>
      <c r="I53" s="529"/>
      <c r="J53" s="529"/>
      <c r="K53" s="529"/>
      <c r="L53" s="529"/>
      <c r="M53" s="529"/>
      <c r="N53" s="529"/>
      <c r="O53" s="529"/>
      <c r="P53" s="529"/>
      <c r="Q53" s="529"/>
      <c r="R53" s="529"/>
      <c r="S53" s="529"/>
      <c r="T53" s="3"/>
      <c r="U53" s="3"/>
      <c r="V53" s="3"/>
      <c r="W53" s="3"/>
      <c r="X53" s="3"/>
    </row>
    <row r="54" spans="1:24" x14ac:dyDescent="0.15">
      <c r="A54" s="3"/>
      <c r="B54" s="3"/>
      <c r="C54" s="3"/>
      <c r="D54" s="3"/>
      <c r="E54" s="3"/>
      <c r="F54" s="3"/>
      <c r="G54" s="3"/>
      <c r="H54" s="529"/>
      <c r="I54" s="529"/>
      <c r="J54" s="529"/>
      <c r="K54" s="529"/>
      <c r="L54" s="529"/>
      <c r="M54" s="529"/>
      <c r="N54" s="529"/>
      <c r="O54" s="529"/>
      <c r="P54" s="529"/>
      <c r="Q54" s="529"/>
      <c r="R54" s="529"/>
      <c r="S54" s="529"/>
      <c r="T54" s="3"/>
      <c r="U54" s="3"/>
      <c r="V54" s="3"/>
      <c r="W54" s="3"/>
      <c r="X54" s="3"/>
    </row>
  </sheetData>
  <phoneticPr fontId="26" type="noConversion"/>
  <pageMargins left="0.75" right="0.75" top="1" bottom="1" header="0.5" footer="0.5"/>
  <pageSetup paperSize="9" orientation="portrait" horizontalDpi="4294967293" verticalDpi="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indexed="57"/>
  </sheetPr>
  <dimension ref="A1:U55"/>
  <sheetViews>
    <sheetView workbookViewId="0">
      <selection activeCell="C38" sqref="C38"/>
    </sheetView>
  </sheetViews>
  <sheetFormatPr baseColWidth="10" defaultColWidth="10.6640625" defaultRowHeight="13" x14ac:dyDescent="0.15"/>
  <cols>
    <col min="1" max="1" width="8.83203125" customWidth="1"/>
    <col min="2" max="2" width="15.83203125" customWidth="1"/>
    <col min="3" max="256" width="8.83203125" customWidth="1"/>
  </cols>
  <sheetData>
    <row r="1" spans="1:21" ht="18" x14ac:dyDescent="0.2">
      <c r="A1" s="855" t="s">
        <v>755</v>
      </c>
      <c r="B1" s="38"/>
      <c r="C1" s="38"/>
      <c r="D1" s="38"/>
      <c r="E1" s="38"/>
      <c r="F1" s="38"/>
      <c r="G1" s="38"/>
      <c r="H1" s="38"/>
      <c r="I1" s="38"/>
      <c r="J1" s="38"/>
      <c r="K1" s="38"/>
      <c r="L1" s="38"/>
      <c r="M1" s="38"/>
      <c r="N1" s="38"/>
      <c r="O1" s="38"/>
      <c r="P1" s="38"/>
      <c r="Q1" s="38"/>
      <c r="R1" s="38"/>
      <c r="S1" s="38"/>
      <c r="T1" s="38"/>
      <c r="U1" s="38"/>
    </row>
    <row r="2" spans="1:21" ht="14" thickBot="1" x14ac:dyDescent="0.2">
      <c r="A2" s="121"/>
      <c r="B2" s="121"/>
      <c r="C2" s="121"/>
      <c r="D2" s="121"/>
      <c r="E2" s="121"/>
      <c r="F2" s="121"/>
      <c r="G2" s="121"/>
      <c r="H2" s="121"/>
      <c r="I2" s="121"/>
      <c r="J2" s="121"/>
      <c r="K2" s="121"/>
      <c r="L2" s="121"/>
      <c r="M2" s="121"/>
      <c r="N2" s="121"/>
      <c r="O2" s="121"/>
      <c r="P2" s="121"/>
      <c r="Q2" s="121"/>
      <c r="R2" s="121"/>
      <c r="S2" s="121"/>
      <c r="T2" s="121"/>
      <c r="U2" s="121"/>
    </row>
    <row r="3" spans="1:21" x14ac:dyDescent="0.15">
      <c r="A3" s="24"/>
      <c r="B3" s="856" t="s">
        <v>293</v>
      </c>
      <c r="C3" s="3"/>
      <c r="D3" s="3"/>
      <c r="E3" s="3"/>
      <c r="F3" s="3"/>
      <c r="G3" s="3"/>
      <c r="H3" s="3"/>
      <c r="I3" s="3"/>
      <c r="J3" s="98"/>
      <c r="K3" s="24"/>
      <c r="L3" s="24"/>
      <c r="M3" s="24"/>
      <c r="N3" s="24"/>
      <c r="O3" s="24"/>
      <c r="P3" s="24"/>
      <c r="Q3" s="24"/>
      <c r="R3" s="24"/>
      <c r="S3" s="24"/>
      <c r="T3" s="24"/>
      <c r="U3" s="24"/>
    </row>
    <row r="4" spans="1:21" x14ac:dyDescent="0.15">
      <c r="A4" s="24"/>
      <c r="B4" s="95" t="s">
        <v>23</v>
      </c>
      <c r="C4" s="3"/>
      <c r="D4" s="3"/>
      <c r="E4" s="3"/>
      <c r="F4" s="3"/>
      <c r="G4" s="3"/>
      <c r="H4" s="3"/>
      <c r="I4" s="3"/>
      <c r="J4" s="98"/>
      <c r="K4" s="24"/>
      <c r="L4" s="24"/>
      <c r="M4" s="24"/>
      <c r="N4" s="24"/>
      <c r="O4" s="24"/>
      <c r="P4" s="24"/>
      <c r="Q4" s="24"/>
      <c r="R4" s="24"/>
      <c r="S4" s="24"/>
      <c r="T4" s="24"/>
      <c r="U4" s="24"/>
    </row>
    <row r="5" spans="1:21" x14ac:dyDescent="0.15">
      <c r="A5" s="24"/>
      <c r="B5" s="851" t="s">
        <v>32</v>
      </c>
      <c r="C5" s="848">
        <f>Orbit!B98</f>
        <v>40</v>
      </c>
      <c r="D5" s="3" t="s">
        <v>729</v>
      </c>
      <c r="E5" s="3"/>
      <c r="F5" s="3"/>
      <c r="G5" s="3"/>
      <c r="H5" s="3"/>
      <c r="I5" s="3"/>
      <c r="J5" s="98"/>
      <c r="K5" s="24"/>
      <c r="L5" s="24"/>
      <c r="M5" s="24"/>
      <c r="N5" s="24"/>
      <c r="O5" s="24"/>
      <c r="P5" s="24"/>
      <c r="Q5" s="24"/>
      <c r="R5" s="24"/>
      <c r="S5" s="24"/>
      <c r="T5" s="24"/>
      <c r="U5" s="24"/>
    </row>
    <row r="6" spans="1:21" x14ac:dyDescent="0.15">
      <c r="A6" s="24"/>
      <c r="B6" s="95" t="s">
        <v>33</v>
      </c>
      <c r="C6" s="32">
        <f>IF(C5&gt;0,1,0)</f>
        <v>1</v>
      </c>
      <c r="D6" s="3"/>
      <c r="E6" s="3" t="s">
        <v>512</v>
      </c>
      <c r="F6" s="3"/>
      <c r="G6" s="3" t="s">
        <v>34</v>
      </c>
      <c r="H6" s="3"/>
      <c r="I6" s="3"/>
      <c r="J6" s="98"/>
      <c r="K6" s="24"/>
      <c r="L6" s="24"/>
      <c r="M6" s="24"/>
      <c r="N6" s="24"/>
      <c r="O6" s="24"/>
      <c r="P6" s="24"/>
      <c r="Q6" s="24"/>
      <c r="R6" s="24"/>
      <c r="S6" s="24"/>
      <c r="T6" s="24"/>
      <c r="U6" s="24"/>
    </row>
    <row r="7" spans="1:21" x14ac:dyDescent="0.15">
      <c r="A7" s="24"/>
      <c r="B7" s="95"/>
      <c r="C7" s="32">
        <f>N(NOT(C6))</f>
        <v>0</v>
      </c>
      <c r="D7" s="3"/>
      <c r="E7" s="3"/>
      <c r="F7" s="3"/>
      <c r="G7" s="3" t="s">
        <v>35</v>
      </c>
      <c r="H7" s="3"/>
      <c r="I7" s="3"/>
      <c r="J7" s="98"/>
      <c r="K7" s="24"/>
      <c r="L7" s="24"/>
      <c r="M7" s="24"/>
      <c r="N7" s="24"/>
      <c r="O7" s="24"/>
      <c r="P7" s="24"/>
      <c r="Q7" s="24"/>
      <c r="R7" s="24"/>
      <c r="S7" s="24"/>
      <c r="T7" s="24"/>
      <c r="U7" s="24"/>
    </row>
    <row r="8" spans="1:21" x14ac:dyDescent="0.15">
      <c r="A8" s="24"/>
      <c r="B8" s="852" t="s">
        <v>39</v>
      </c>
      <c r="C8" s="848">
        <f>Orbit!B101</f>
        <v>27</v>
      </c>
      <c r="D8" s="3" t="s">
        <v>729</v>
      </c>
      <c r="E8" s="3" t="s">
        <v>512</v>
      </c>
      <c r="F8" s="3"/>
      <c r="G8" s="3" t="s">
        <v>512</v>
      </c>
      <c r="H8" s="3"/>
      <c r="I8" s="3"/>
      <c r="J8" s="98"/>
      <c r="K8" s="24"/>
      <c r="L8" s="24"/>
      <c r="M8" s="24"/>
      <c r="N8" s="24"/>
      <c r="O8" s="24"/>
      <c r="P8" s="24"/>
      <c r="Q8" s="24"/>
      <c r="R8" s="24"/>
      <c r="S8" s="24"/>
      <c r="T8" s="24"/>
      <c r="U8" s="24"/>
    </row>
    <row r="9" spans="1:21" x14ac:dyDescent="0.15">
      <c r="A9" s="24"/>
      <c r="B9" s="95" t="s">
        <v>24</v>
      </c>
      <c r="C9" s="32">
        <f>IF(C8&gt;0,1,0)</f>
        <v>1</v>
      </c>
      <c r="D9" s="3"/>
      <c r="E9" s="3"/>
      <c r="F9" s="3"/>
      <c r="G9" s="3" t="s">
        <v>36</v>
      </c>
      <c r="H9" s="3"/>
      <c r="I9" s="3"/>
      <c r="J9" s="98"/>
      <c r="K9" s="24"/>
      <c r="L9" s="24"/>
      <c r="M9" s="24"/>
      <c r="N9" s="24"/>
      <c r="O9" s="24"/>
      <c r="P9" s="24"/>
      <c r="Q9" s="24"/>
      <c r="R9" s="24"/>
      <c r="S9" s="24"/>
      <c r="T9" s="24"/>
      <c r="U9" s="24"/>
    </row>
    <row r="10" spans="1:21" x14ac:dyDescent="0.15">
      <c r="A10" s="24"/>
      <c r="B10" s="95"/>
      <c r="C10" s="32">
        <f>N(NOT(C9))</f>
        <v>0</v>
      </c>
      <c r="D10" s="3"/>
      <c r="E10" s="3"/>
      <c r="F10" s="3"/>
      <c r="G10" s="3" t="s">
        <v>37</v>
      </c>
      <c r="H10" s="3"/>
      <c r="I10" s="3"/>
      <c r="J10" s="98"/>
      <c r="K10" s="24"/>
      <c r="L10" s="24"/>
      <c r="M10" s="24"/>
      <c r="N10" s="24"/>
      <c r="O10" s="24"/>
      <c r="P10" s="24"/>
      <c r="Q10" s="24"/>
      <c r="R10" s="24"/>
      <c r="S10" s="24"/>
      <c r="T10" s="24"/>
      <c r="U10" s="24"/>
    </row>
    <row r="11" spans="1:21" x14ac:dyDescent="0.15">
      <c r="A11" s="24"/>
      <c r="B11" s="95"/>
      <c r="C11" s="854" t="s">
        <v>47</v>
      </c>
      <c r="D11" s="3"/>
      <c r="E11" s="854" t="s">
        <v>45</v>
      </c>
      <c r="F11" s="3"/>
      <c r="G11" s="854" t="s">
        <v>971</v>
      </c>
      <c r="H11" s="3"/>
      <c r="I11" s="3"/>
      <c r="J11" s="98"/>
      <c r="K11" s="24"/>
      <c r="L11" s="24"/>
      <c r="M11" s="24"/>
      <c r="N11" s="24"/>
      <c r="O11" s="24"/>
      <c r="P11" s="24"/>
      <c r="Q11" s="24"/>
      <c r="R11" s="24"/>
      <c r="S11" s="24"/>
      <c r="T11" s="24"/>
      <c r="U11" s="24"/>
    </row>
    <row r="12" spans="1:21" x14ac:dyDescent="0.15">
      <c r="A12" s="24"/>
      <c r="B12" s="853" t="s">
        <v>25</v>
      </c>
      <c r="C12" s="32">
        <f>N(AND(C7,C10))</f>
        <v>0</v>
      </c>
      <c r="D12" s="3"/>
      <c r="E12" s="845">
        <f>C12*(-C17)</f>
        <v>0</v>
      </c>
      <c r="F12" s="3" t="s">
        <v>729</v>
      </c>
      <c r="G12" s="3" t="s">
        <v>29</v>
      </c>
      <c r="H12" s="3"/>
      <c r="I12" s="3"/>
      <c r="J12" s="98"/>
      <c r="K12" s="24"/>
      <c r="L12" s="24"/>
      <c r="M12" s="24"/>
      <c r="N12" s="24"/>
      <c r="O12" s="24"/>
      <c r="P12" s="24"/>
      <c r="Q12" s="24"/>
      <c r="R12" s="24"/>
      <c r="S12" s="24"/>
      <c r="T12" s="24"/>
      <c r="U12" s="24"/>
    </row>
    <row r="13" spans="1:21" x14ac:dyDescent="0.15">
      <c r="A13" s="24"/>
      <c r="B13" s="95" t="s">
        <v>27</v>
      </c>
      <c r="C13" s="32">
        <f>N(AND(C6,C10))</f>
        <v>0</v>
      </c>
      <c r="D13" s="3"/>
      <c r="E13" s="845">
        <f>C13*(180-C17)</f>
        <v>0</v>
      </c>
      <c r="F13" s="3" t="s">
        <v>729</v>
      </c>
      <c r="G13" s="3" t="s">
        <v>31</v>
      </c>
      <c r="H13" s="3"/>
      <c r="I13" s="3"/>
      <c r="J13" s="98"/>
      <c r="K13" s="24"/>
      <c r="L13" s="24"/>
      <c r="M13" s="24"/>
      <c r="N13" s="24"/>
      <c r="O13" s="24"/>
      <c r="P13" s="24"/>
      <c r="Q13" s="24"/>
      <c r="R13" s="24"/>
      <c r="S13" s="24"/>
      <c r="T13" s="24"/>
      <c r="U13" s="24"/>
    </row>
    <row r="14" spans="1:21" x14ac:dyDescent="0.15">
      <c r="A14" s="24"/>
      <c r="B14" s="853" t="s">
        <v>28</v>
      </c>
      <c r="C14" s="32">
        <f>N(AND(C6,C9))</f>
        <v>1</v>
      </c>
      <c r="D14" s="3"/>
      <c r="E14" s="845">
        <f>C14*(180-C17)</f>
        <v>218.40319000510939</v>
      </c>
      <c r="F14" s="3" t="s">
        <v>729</v>
      </c>
      <c r="G14" s="3" t="s">
        <v>38</v>
      </c>
      <c r="H14" s="3"/>
      <c r="I14" s="3"/>
      <c r="J14" s="98"/>
      <c r="K14" s="24"/>
      <c r="L14" s="24"/>
      <c r="M14" s="24"/>
      <c r="N14" s="24"/>
      <c r="O14" s="24"/>
      <c r="P14" s="24"/>
      <c r="Q14" s="24"/>
      <c r="R14" s="24"/>
      <c r="S14" s="24"/>
      <c r="T14" s="24"/>
      <c r="U14" s="24"/>
    </row>
    <row r="15" spans="1:21" x14ac:dyDescent="0.15">
      <c r="A15" s="24"/>
      <c r="B15" s="853" t="s">
        <v>26</v>
      </c>
      <c r="C15" s="32">
        <f>N(AND(C7,C9))</f>
        <v>0</v>
      </c>
      <c r="D15" s="3"/>
      <c r="E15" s="845">
        <f>C15*(360-C17)</f>
        <v>0</v>
      </c>
      <c r="F15" s="3" t="s">
        <v>729</v>
      </c>
      <c r="G15" s="3" t="s">
        <v>30</v>
      </c>
      <c r="H15" s="3"/>
      <c r="I15" s="3"/>
      <c r="J15" s="98"/>
      <c r="K15" s="24"/>
      <c r="L15" s="24"/>
      <c r="M15" s="24"/>
      <c r="N15" s="24"/>
      <c r="O15" s="24"/>
      <c r="P15" s="24"/>
      <c r="Q15" s="24"/>
      <c r="R15" s="24"/>
      <c r="S15" s="24"/>
      <c r="T15" s="24"/>
      <c r="U15" s="24"/>
    </row>
    <row r="16" spans="1:21" x14ac:dyDescent="0.15">
      <c r="A16" s="24"/>
      <c r="B16" s="95"/>
      <c r="C16" s="3"/>
      <c r="D16" s="3"/>
      <c r="E16" s="3"/>
      <c r="F16" s="3"/>
      <c r="G16" s="3"/>
      <c r="H16" s="3"/>
      <c r="I16" s="3"/>
      <c r="J16" s="98"/>
      <c r="K16" s="24"/>
      <c r="L16" s="24"/>
      <c r="M16" s="24"/>
      <c r="N16" s="24"/>
      <c r="O16" s="24"/>
      <c r="P16" s="24"/>
      <c r="Q16" s="24"/>
      <c r="R16" s="24"/>
      <c r="S16" s="24"/>
      <c r="T16" s="24"/>
      <c r="U16" s="24"/>
    </row>
    <row r="17" spans="1:21" x14ac:dyDescent="0.15">
      <c r="A17" s="24"/>
      <c r="B17" s="851" t="s">
        <v>40</v>
      </c>
      <c r="C17" s="847">
        <f>Orbit!B107</f>
        <v>-38.403190005109394</v>
      </c>
      <c r="D17" s="3" t="s">
        <v>729</v>
      </c>
      <c r="E17" s="3"/>
      <c r="F17" s="3"/>
      <c r="G17" s="3"/>
      <c r="H17" s="3"/>
      <c r="I17" s="3"/>
      <c r="J17" s="98"/>
      <c r="K17" s="24"/>
      <c r="L17" s="24"/>
      <c r="M17" s="24"/>
      <c r="N17" s="24"/>
      <c r="O17" s="24"/>
      <c r="P17" s="24"/>
      <c r="Q17" s="24"/>
      <c r="R17" s="24"/>
      <c r="S17" s="24"/>
      <c r="T17" s="24"/>
      <c r="U17" s="24"/>
    </row>
    <row r="18" spans="1:21" x14ac:dyDescent="0.15">
      <c r="A18" s="24"/>
      <c r="B18" s="95"/>
      <c r="C18" s="3"/>
      <c r="D18" s="3"/>
      <c r="E18" s="3"/>
      <c r="F18" s="3"/>
      <c r="G18" s="3"/>
      <c r="H18" s="3"/>
      <c r="I18" s="3"/>
      <c r="J18" s="98"/>
      <c r="K18" s="24"/>
      <c r="L18" s="24"/>
      <c r="M18" s="24"/>
      <c r="N18" s="24"/>
      <c r="O18" s="24"/>
      <c r="P18" s="24"/>
      <c r="Q18" s="24"/>
      <c r="R18" s="24"/>
      <c r="S18" s="24"/>
      <c r="T18" s="24"/>
      <c r="U18" s="24"/>
    </row>
    <row r="19" spans="1:21" x14ac:dyDescent="0.15">
      <c r="A19" s="24"/>
      <c r="B19" s="851" t="s">
        <v>41</v>
      </c>
      <c r="C19" s="3"/>
      <c r="D19" s="3"/>
      <c r="E19" s="849">
        <f>SUM(E12:E15)</f>
        <v>218.40319000510939</v>
      </c>
      <c r="F19" s="424" t="s">
        <v>729</v>
      </c>
      <c r="G19" s="3"/>
      <c r="H19" s="3"/>
      <c r="I19" s="3"/>
      <c r="J19" s="98"/>
      <c r="K19" s="24"/>
      <c r="L19" s="24"/>
      <c r="M19" s="24"/>
      <c r="N19" s="24"/>
      <c r="O19" s="24"/>
      <c r="P19" s="24"/>
      <c r="Q19" s="24"/>
      <c r="R19" s="24"/>
      <c r="S19" s="24"/>
      <c r="T19" s="24"/>
      <c r="U19" s="24"/>
    </row>
    <row r="20" spans="1:21" x14ac:dyDescent="0.15">
      <c r="A20" s="24"/>
      <c r="B20" s="95"/>
      <c r="C20" s="3"/>
      <c r="D20" s="3"/>
      <c r="E20" s="3"/>
      <c r="F20" s="3"/>
      <c r="G20" s="3"/>
      <c r="H20" s="3"/>
      <c r="I20" s="3"/>
      <c r="J20" s="98"/>
      <c r="K20" s="24"/>
      <c r="L20" s="24"/>
      <c r="M20" s="24"/>
      <c r="N20" s="24"/>
      <c r="O20" s="24"/>
      <c r="P20" s="24"/>
      <c r="Q20" s="24"/>
      <c r="R20" s="24"/>
      <c r="S20" s="24"/>
      <c r="T20" s="24"/>
      <c r="U20" s="24"/>
    </row>
    <row r="21" spans="1:21" ht="14" thickBot="1" x14ac:dyDescent="0.2">
      <c r="A21" s="24"/>
      <c r="B21" s="105"/>
      <c r="C21" s="106"/>
      <c r="D21" s="106"/>
      <c r="E21" s="106"/>
      <c r="F21" s="106"/>
      <c r="G21" s="106"/>
      <c r="H21" s="106"/>
      <c r="I21" s="106"/>
      <c r="J21" s="107"/>
      <c r="K21" s="24"/>
      <c r="L21" s="24"/>
      <c r="M21" s="24"/>
      <c r="N21" s="24"/>
      <c r="O21" s="24"/>
      <c r="P21" s="24"/>
      <c r="Q21" s="24"/>
      <c r="R21" s="24"/>
      <c r="S21" s="24"/>
      <c r="T21" s="24"/>
      <c r="U21" s="24"/>
    </row>
    <row r="22" spans="1:21" x14ac:dyDescent="0.15">
      <c r="A22" s="24"/>
      <c r="B22" s="24"/>
      <c r="C22" s="24"/>
      <c r="D22" s="24"/>
      <c r="E22" s="24"/>
      <c r="F22" s="24"/>
      <c r="G22" s="24"/>
      <c r="H22" s="24"/>
      <c r="I22" s="24"/>
      <c r="J22" s="24"/>
      <c r="K22" s="24"/>
      <c r="L22" s="24"/>
      <c r="M22" s="24"/>
      <c r="N22" s="24"/>
      <c r="O22" s="24"/>
      <c r="P22" s="24"/>
      <c r="Q22" s="24"/>
      <c r="R22" s="24"/>
      <c r="S22" s="24"/>
      <c r="T22" s="24"/>
      <c r="U22" s="24"/>
    </row>
    <row r="23" spans="1:21" ht="14" thickBot="1" x14ac:dyDescent="0.2">
      <c r="A23" s="24"/>
      <c r="B23" s="858"/>
      <c r="C23" s="858"/>
      <c r="D23" s="858"/>
      <c r="E23" s="858"/>
      <c r="F23" s="858"/>
      <c r="G23" s="858"/>
      <c r="H23" s="858"/>
      <c r="I23" s="858"/>
      <c r="J23" s="858"/>
      <c r="K23" s="24"/>
      <c r="L23" s="24"/>
      <c r="M23" s="24"/>
      <c r="N23" s="24"/>
      <c r="O23" s="24"/>
      <c r="P23" s="24"/>
      <c r="Q23" s="24"/>
      <c r="R23" s="24"/>
      <c r="S23" s="24"/>
      <c r="T23" s="24"/>
      <c r="U23" s="24"/>
    </row>
    <row r="24" spans="1:21" x14ac:dyDescent="0.15">
      <c r="A24" s="24"/>
      <c r="B24" s="856" t="s">
        <v>754</v>
      </c>
      <c r="C24" s="3"/>
      <c r="D24" s="3"/>
      <c r="E24" s="3"/>
      <c r="F24" s="3"/>
      <c r="G24" s="3"/>
      <c r="H24" s="3"/>
      <c r="I24" s="3"/>
      <c r="J24" s="98"/>
      <c r="K24" s="24"/>
      <c r="L24" s="24"/>
      <c r="M24" s="24"/>
      <c r="N24" s="24"/>
      <c r="O24" s="24"/>
      <c r="P24" s="24"/>
      <c r="Q24" s="24"/>
      <c r="R24" s="24"/>
      <c r="S24" s="24"/>
      <c r="T24" s="24"/>
      <c r="U24" s="24"/>
    </row>
    <row r="25" spans="1:21" x14ac:dyDescent="0.15">
      <c r="A25" s="24"/>
      <c r="B25" s="95" t="s">
        <v>23</v>
      </c>
      <c r="C25" s="3"/>
      <c r="D25" s="3"/>
      <c r="E25" s="3"/>
      <c r="F25" s="3"/>
      <c r="G25" s="3"/>
      <c r="H25" s="3"/>
      <c r="I25" s="3"/>
      <c r="J25" s="98"/>
      <c r="K25" s="24"/>
      <c r="L25" s="24"/>
      <c r="M25" s="24"/>
      <c r="N25" s="24"/>
      <c r="O25" s="24"/>
      <c r="P25" s="24"/>
      <c r="Q25" s="24"/>
      <c r="R25" s="24"/>
      <c r="S25" s="24"/>
      <c r="T25" s="24"/>
      <c r="U25" s="24"/>
    </row>
    <row r="26" spans="1:21" x14ac:dyDescent="0.15">
      <c r="A26" s="24"/>
      <c r="B26" s="851" t="s">
        <v>32</v>
      </c>
      <c r="C26" s="848">
        <f>Orbit!O98</f>
        <v>40</v>
      </c>
      <c r="D26" s="3" t="s">
        <v>729</v>
      </c>
      <c r="E26" s="3"/>
      <c r="F26" s="3"/>
      <c r="G26" s="3"/>
      <c r="H26" s="3"/>
      <c r="I26" s="3"/>
      <c r="J26" s="98"/>
      <c r="K26" s="24"/>
      <c r="L26" s="24"/>
      <c r="M26" s="24"/>
      <c r="N26" s="24"/>
      <c r="O26" s="24"/>
      <c r="P26" s="24"/>
      <c r="Q26" s="24"/>
      <c r="R26" s="24"/>
      <c r="S26" s="24"/>
      <c r="T26" s="24"/>
      <c r="U26" s="24"/>
    </row>
    <row r="27" spans="1:21" x14ac:dyDescent="0.15">
      <c r="A27" s="24"/>
      <c r="B27" s="95" t="s">
        <v>33</v>
      </c>
      <c r="C27" s="32">
        <f>IF(C26&gt;0,1,0)</f>
        <v>1</v>
      </c>
      <c r="D27" s="3"/>
      <c r="E27" s="3" t="s">
        <v>512</v>
      </c>
      <c r="F27" s="3"/>
      <c r="G27" s="3" t="s">
        <v>34</v>
      </c>
      <c r="H27" s="3"/>
      <c r="I27" s="3"/>
      <c r="J27" s="98"/>
      <c r="K27" s="24"/>
      <c r="L27" s="24"/>
      <c r="M27" s="24"/>
      <c r="N27" s="24"/>
      <c r="O27" s="24"/>
      <c r="P27" s="24"/>
      <c r="Q27" s="24"/>
      <c r="R27" s="24"/>
      <c r="S27" s="24"/>
      <c r="T27" s="24"/>
      <c r="U27" s="24"/>
    </row>
    <row r="28" spans="1:21" x14ac:dyDescent="0.15">
      <c r="A28" s="24"/>
      <c r="B28" s="95"/>
      <c r="C28" s="32">
        <f>N(NOT(C27))</f>
        <v>0</v>
      </c>
      <c r="D28" s="3"/>
      <c r="E28" s="3"/>
      <c r="F28" s="3"/>
      <c r="G28" s="3" t="s">
        <v>35</v>
      </c>
      <c r="H28" s="3"/>
      <c r="I28" s="3"/>
      <c r="J28" s="98"/>
      <c r="K28" s="24"/>
      <c r="L28" s="24"/>
      <c r="M28" s="24"/>
      <c r="N28" s="24"/>
      <c r="O28" s="24"/>
      <c r="P28" s="24"/>
      <c r="Q28" s="24"/>
      <c r="R28" s="24"/>
      <c r="S28" s="24"/>
      <c r="T28" s="24"/>
      <c r="U28" s="24"/>
    </row>
    <row r="29" spans="1:21" x14ac:dyDescent="0.15">
      <c r="A29" s="24"/>
      <c r="B29" s="852" t="s">
        <v>39</v>
      </c>
      <c r="C29" s="848">
        <f>Orbit!O101</f>
        <v>16</v>
      </c>
      <c r="D29" s="3" t="s">
        <v>729</v>
      </c>
      <c r="E29" s="3" t="s">
        <v>512</v>
      </c>
      <c r="F29" s="3"/>
      <c r="G29" s="3" t="s">
        <v>512</v>
      </c>
      <c r="H29" s="3"/>
      <c r="I29" s="3"/>
      <c r="J29" s="98"/>
      <c r="K29" s="24"/>
      <c r="L29" s="24"/>
      <c r="M29" s="24"/>
      <c r="N29" s="24" t="s">
        <v>512</v>
      </c>
      <c r="O29" s="24"/>
      <c r="P29" s="24"/>
      <c r="Q29" s="24"/>
      <c r="R29" s="24"/>
      <c r="S29" s="24"/>
      <c r="T29" s="24"/>
      <c r="U29" s="24"/>
    </row>
    <row r="30" spans="1:21" x14ac:dyDescent="0.15">
      <c r="A30" s="24"/>
      <c r="B30" s="95" t="s">
        <v>24</v>
      </c>
      <c r="C30" s="32">
        <f>IF(C29&gt;0,1,0)</f>
        <v>1</v>
      </c>
      <c r="D30" s="3"/>
      <c r="E30" s="3"/>
      <c r="F30" s="3"/>
      <c r="G30" s="3" t="s">
        <v>36</v>
      </c>
      <c r="H30" s="3"/>
      <c r="I30" s="3"/>
      <c r="J30" s="98"/>
      <c r="K30" s="24"/>
      <c r="L30" s="24"/>
      <c r="M30" s="24"/>
      <c r="N30" s="24"/>
      <c r="O30" s="24"/>
      <c r="P30" s="24"/>
      <c r="Q30" s="24"/>
      <c r="R30" s="24"/>
      <c r="S30" s="24"/>
      <c r="T30" s="24"/>
      <c r="U30" s="24"/>
    </row>
    <row r="31" spans="1:21" x14ac:dyDescent="0.15">
      <c r="A31" s="24"/>
      <c r="B31" s="95"/>
      <c r="C31" s="32">
        <f>N(NOT(C30))</f>
        <v>0</v>
      </c>
      <c r="D31" s="3"/>
      <c r="E31" s="3"/>
      <c r="F31" s="3"/>
      <c r="G31" s="3" t="s">
        <v>37</v>
      </c>
      <c r="H31" s="3"/>
      <c r="I31" s="3"/>
      <c r="J31" s="98"/>
      <c r="K31" s="24"/>
      <c r="L31" s="24"/>
      <c r="M31" s="24"/>
      <c r="N31" s="24"/>
      <c r="O31" s="24"/>
      <c r="P31" s="24"/>
      <c r="Q31" s="24"/>
      <c r="R31" s="24"/>
      <c r="S31" s="24"/>
      <c r="T31" s="24"/>
      <c r="U31" s="24"/>
    </row>
    <row r="32" spans="1:21" x14ac:dyDescent="0.15">
      <c r="A32" s="24"/>
      <c r="B32" s="95"/>
      <c r="C32" s="854" t="s">
        <v>47</v>
      </c>
      <c r="D32" s="3"/>
      <c r="E32" s="854" t="s">
        <v>45</v>
      </c>
      <c r="F32" s="3"/>
      <c r="G32" s="854" t="s">
        <v>46</v>
      </c>
      <c r="H32" s="3"/>
      <c r="I32" s="3"/>
      <c r="J32" s="98"/>
      <c r="K32" s="24"/>
      <c r="L32" s="24"/>
      <c r="M32" s="24"/>
      <c r="N32" s="24"/>
      <c r="O32" s="24"/>
      <c r="P32" s="24"/>
      <c r="Q32" s="24"/>
      <c r="R32" s="24"/>
      <c r="S32" s="24"/>
      <c r="T32" s="24"/>
      <c r="U32" s="24"/>
    </row>
    <row r="33" spans="1:21" x14ac:dyDescent="0.15">
      <c r="A33" s="24"/>
      <c r="B33" s="853" t="s">
        <v>25</v>
      </c>
      <c r="C33" s="32">
        <f>N(AND(C28,C31))</f>
        <v>0</v>
      </c>
      <c r="D33" s="3"/>
      <c r="E33" s="845">
        <f>C33*(-C38)</f>
        <v>0</v>
      </c>
      <c r="F33" s="3" t="s">
        <v>729</v>
      </c>
      <c r="G33" s="3" t="s">
        <v>29</v>
      </c>
      <c r="H33" s="3"/>
      <c r="I33" s="3"/>
      <c r="J33" s="98"/>
      <c r="K33" s="24"/>
      <c r="L33" s="24"/>
      <c r="M33" s="24"/>
      <c r="N33" s="24"/>
      <c r="O33" s="24"/>
      <c r="P33" s="24"/>
      <c r="Q33" s="24"/>
      <c r="R33" s="24"/>
      <c r="S33" s="24"/>
      <c r="T33" s="24"/>
      <c r="U33" s="24"/>
    </row>
    <row r="34" spans="1:21" x14ac:dyDescent="0.15">
      <c r="A34" s="24"/>
      <c r="B34" s="95" t="s">
        <v>27</v>
      </c>
      <c r="C34" s="32">
        <f>N(AND(C27,C31))</f>
        <v>0</v>
      </c>
      <c r="D34" s="3"/>
      <c r="E34" s="845">
        <f>C34*(180-C38)</f>
        <v>0</v>
      </c>
      <c r="F34" s="3" t="s">
        <v>729</v>
      </c>
      <c r="G34" s="3" t="s">
        <v>31</v>
      </c>
      <c r="H34" s="3"/>
      <c r="I34" s="3"/>
      <c r="J34" s="98"/>
      <c r="K34" s="24"/>
      <c r="L34" s="24"/>
      <c r="M34" s="24"/>
      <c r="N34" s="24"/>
      <c r="O34" s="24"/>
      <c r="P34" s="24"/>
      <c r="Q34" s="24"/>
      <c r="R34" s="24"/>
      <c r="S34" s="24"/>
      <c r="T34" s="24"/>
      <c r="U34" s="24"/>
    </row>
    <row r="35" spans="1:21" x14ac:dyDescent="0.15">
      <c r="A35" s="24"/>
      <c r="B35" s="853" t="s">
        <v>28</v>
      </c>
      <c r="C35" s="32">
        <f>N(AND(C27,C30))</f>
        <v>1</v>
      </c>
      <c r="D35" s="3"/>
      <c r="E35" s="845">
        <f>C35*(180-C38)</f>
        <v>204.04148929400176</v>
      </c>
      <c r="F35" s="3" t="s">
        <v>729</v>
      </c>
      <c r="G35" s="3" t="s">
        <v>38</v>
      </c>
      <c r="H35" s="3"/>
      <c r="I35" s="3"/>
      <c r="J35" s="98"/>
      <c r="K35" s="24"/>
      <c r="L35" s="24"/>
      <c r="M35" s="24"/>
      <c r="N35" s="24"/>
      <c r="O35" s="24"/>
      <c r="P35" s="24"/>
      <c r="Q35" s="24"/>
      <c r="R35" s="24"/>
      <c r="S35" s="24"/>
      <c r="T35" s="24"/>
      <c r="U35" s="24"/>
    </row>
    <row r="36" spans="1:21" x14ac:dyDescent="0.15">
      <c r="A36" s="24"/>
      <c r="B36" s="853" t="s">
        <v>26</v>
      </c>
      <c r="C36" s="32">
        <f>N(AND(C28,C30))</f>
        <v>0</v>
      </c>
      <c r="D36" s="3"/>
      <c r="E36" s="845">
        <f>C36*(360-C38)</f>
        <v>0</v>
      </c>
      <c r="F36" s="3" t="s">
        <v>729</v>
      </c>
      <c r="G36" s="3" t="s">
        <v>30</v>
      </c>
      <c r="H36" s="3"/>
      <c r="I36" s="3"/>
      <c r="J36" s="98"/>
      <c r="K36" s="24"/>
      <c r="L36" s="24"/>
      <c r="M36" s="24"/>
      <c r="N36" s="24"/>
      <c r="O36" s="24"/>
      <c r="P36" s="24"/>
      <c r="Q36" s="24"/>
      <c r="R36" s="24"/>
      <c r="S36" s="24"/>
      <c r="T36" s="24"/>
      <c r="U36" s="24"/>
    </row>
    <row r="37" spans="1:21" x14ac:dyDescent="0.15">
      <c r="A37" s="24"/>
      <c r="B37" s="95"/>
      <c r="C37" s="3"/>
      <c r="D37" s="3"/>
      <c r="E37" s="3"/>
      <c r="F37" s="3"/>
      <c r="G37" s="3"/>
      <c r="H37" s="3"/>
      <c r="I37" s="3"/>
      <c r="J37" s="98"/>
      <c r="K37" s="24"/>
      <c r="L37" s="24"/>
      <c r="M37" s="24"/>
      <c r="N37" s="24"/>
      <c r="O37" s="24"/>
      <c r="P37" s="24"/>
      <c r="Q37" s="24"/>
      <c r="R37" s="24"/>
      <c r="S37" s="24"/>
      <c r="T37" s="24"/>
      <c r="U37" s="24"/>
    </row>
    <row r="38" spans="1:21" x14ac:dyDescent="0.15">
      <c r="A38" s="24"/>
      <c r="B38" s="851" t="s">
        <v>40</v>
      </c>
      <c r="C38" s="847">
        <f>Orbit!O107</f>
        <v>-24.041489294001764</v>
      </c>
      <c r="D38" s="3" t="s">
        <v>729</v>
      </c>
      <c r="E38" s="3"/>
      <c r="F38" s="3"/>
      <c r="G38" s="3"/>
      <c r="H38" s="3"/>
      <c r="I38" s="3"/>
      <c r="J38" s="98"/>
      <c r="K38" s="24"/>
      <c r="L38" s="24"/>
      <c r="M38" s="24"/>
      <c r="N38" s="24"/>
      <c r="O38" s="24"/>
      <c r="P38" s="24"/>
      <c r="Q38" s="24"/>
      <c r="R38" s="24"/>
      <c r="S38" s="24"/>
      <c r="T38" s="24"/>
      <c r="U38" s="24"/>
    </row>
    <row r="39" spans="1:21" x14ac:dyDescent="0.15">
      <c r="A39" s="24"/>
      <c r="B39" s="95"/>
      <c r="C39" s="3"/>
      <c r="D39" s="3"/>
      <c r="E39" s="3"/>
      <c r="F39" s="3"/>
      <c r="G39" s="3"/>
      <c r="H39" s="3"/>
      <c r="I39" s="3"/>
      <c r="J39" s="98"/>
      <c r="K39" s="24"/>
      <c r="L39" s="24"/>
      <c r="M39" s="24"/>
      <c r="N39" s="24"/>
      <c r="O39" s="24"/>
      <c r="P39" s="24"/>
      <c r="Q39" s="24"/>
      <c r="R39" s="24"/>
      <c r="S39" s="24"/>
      <c r="T39" s="24"/>
      <c r="U39" s="24"/>
    </row>
    <row r="40" spans="1:21" x14ac:dyDescent="0.15">
      <c r="A40" s="24"/>
      <c r="B40" s="851" t="s">
        <v>41</v>
      </c>
      <c r="C40" s="3"/>
      <c r="D40" s="3"/>
      <c r="E40" s="849">
        <f>SUM(E33:E36)</f>
        <v>204.04148929400176</v>
      </c>
      <c r="F40" s="424" t="s">
        <v>729</v>
      </c>
      <c r="G40" s="3"/>
      <c r="H40" s="3"/>
      <c r="I40" s="3"/>
      <c r="J40" s="98"/>
      <c r="K40" s="24"/>
      <c r="L40" s="24"/>
      <c r="M40" s="24"/>
      <c r="N40" s="24"/>
      <c r="O40" s="24"/>
      <c r="P40" s="24"/>
      <c r="Q40" s="24"/>
      <c r="R40" s="24"/>
      <c r="S40" s="24"/>
      <c r="T40" s="24"/>
      <c r="U40" s="24"/>
    </row>
    <row r="41" spans="1:21" x14ac:dyDescent="0.15">
      <c r="A41" s="24"/>
      <c r="B41" s="95"/>
      <c r="C41" s="3"/>
      <c r="D41" s="3"/>
      <c r="E41" s="3"/>
      <c r="F41" s="3"/>
      <c r="G41" s="3"/>
      <c r="H41" s="3"/>
      <c r="I41" s="3"/>
      <c r="J41" s="98"/>
      <c r="K41" s="24"/>
      <c r="L41" s="24"/>
      <c r="M41" s="24"/>
      <c r="N41" s="24"/>
      <c r="O41" s="24"/>
      <c r="P41" s="24"/>
      <c r="Q41" s="24"/>
      <c r="R41" s="24"/>
      <c r="S41" s="24"/>
      <c r="T41" s="24"/>
      <c r="U41" s="24"/>
    </row>
    <row r="42" spans="1:21" ht="14" thickBot="1" x14ac:dyDescent="0.2">
      <c r="A42" s="24"/>
      <c r="B42" s="105"/>
      <c r="C42" s="106"/>
      <c r="D42" s="106"/>
      <c r="E42" s="106"/>
      <c r="F42" s="106"/>
      <c r="G42" s="106"/>
      <c r="H42" s="106"/>
      <c r="I42" s="106"/>
      <c r="J42" s="107"/>
      <c r="K42" s="24"/>
      <c r="L42" s="24"/>
      <c r="M42" s="24"/>
      <c r="N42" s="24"/>
      <c r="O42" s="24"/>
      <c r="P42" s="24"/>
      <c r="Q42" s="24"/>
      <c r="R42" s="24"/>
      <c r="S42" s="24"/>
      <c r="T42" s="24"/>
      <c r="U42" s="24"/>
    </row>
    <row r="43" spans="1:21" x14ac:dyDescent="0.15">
      <c r="A43" s="24"/>
      <c r="B43" s="24"/>
      <c r="C43" s="24"/>
      <c r="D43" s="24"/>
      <c r="E43" s="24"/>
      <c r="F43" s="24"/>
      <c r="G43" s="24"/>
      <c r="H43" s="24"/>
      <c r="I43" s="24"/>
      <c r="J43" s="24"/>
      <c r="K43" s="24"/>
      <c r="L43" s="24"/>
      <c r="M43" s="24"/>
      <c r="N43" s="24"/>
      <c r="O43" s="24"/>
      <c r="P43" s="24"/>
      <c r="Q43" s="24"/>
      <c r="R43" s="24"/>
      <c r="S43" s="24"/>
      <c r="T43" s="24"/>
      <c r="U43" s="24"/>
    </row>
    <row r="44" spans="1:21" x14ac:dyDescent="0.15">
      <c r="A44" s="24"/>
      <c r="B44" s="24"/>
      <c r="C44" s="24"/>
      <c r="D44" s="24"/>
      <c r="E44" s="24"/>
      <c r="F44" s="24"/>
      <c r="G44" s="24"/>
      <c r="H44" s="24"/>
      <c r="I44" s="24"/>
      <c r="J44" s="24"/>
      <c r="K44" s="24"/>
      <c r="L44" s="24"/>
      <c r="M44" s="24"/>
      <c r="N44" s="24"/>
      <c r="O44" s="24"/>
      <c r="P44" s="24"/>
      <c r="Q44" s="24"/>
      <c r="R44" s="24"/>
      <c r="S44" s="24"/>
      <c r="T44" s="24"/>
      <c r="U44" s="24"/>
    </row>
    <row r="45" spans="1:21" x14ac:dyDescent="0.15">
      <c r="A45" s="24"/>
      <c r="B45" s="24"/>
      <c r="C45" s="24"/>
      <c r="D45" s="24"/>
      <c r="E45" s="24"/>
      <c r="F45" s="24"/>
      <c r="G45" s="24"/>
      <c r="H45" s="24"/>
      <c r="I45" s="24"/>
      <c r="J45" s="24"/>
      <c r="K45" s="24"/>
      <c r="L45" s="24"/>
      <c r="M45" s="24"/>
      <c r="N45" s="24"/>
      <c r="O45" s="24"/>
      <c r="P45" s="24"/>
      <c r="Q45" s="24"/>
      <c r="R45" s="24"/>
      <c r="S45" s="24"/>
      <c r="T45" s="24"/>
      <c r="U45" s="24"/>
    </row>
    <row r="46" spans="1:21" x14ac:dyDescent="0.15">
      <c r="A46" s="24"/>
      <c r="B46" s="24"/>
      <c r="C46" s="24"/>
      <c r="D46" s="24"/>
      <c r="E46" s="24"/>
      <c r="F46" s="24"/>
      <c r="G46" s="24"/>
      <c r="H46" s="24"/>
      <c r="I46" s="24"/>
      <c r="J46" s="24"/>
      <c r="K46" s="24"/>
      <c r="L46" s="24"/>
      <c r="M46" s="24"/>
      <c r="N46" s="24"/>
      <c r="O46" s="24"/>
      <c r="P46" s="24"/>
      <c r="Q46" s="24"/>
      <c r="R46" s="24"/>
      <c r="S46" s="24"/>
      <c r="T46" s="24"/>
      <c r="U46" s="24"/>
    </row>
    <row r="47" spans="1:21" x14ac:dyDescent="0.15">
      <c r="A47" s="24"/>
      <c r="B47" s="24"/>
      <c r="C47" s="24"/>
      <c r="D47" s="24"/>
      <c r="E47" s="24"/>
      <c r="F47" s="24"/>
      <c r="G47" s="24"/>
      <c r="H47" s="24"/>
      <c r="I47" s="24"/>
      <c r="J47" s="24"/>
      <c r="K47" s="24"/>
      <c r="L47" s="24"/>
      <c r="M47" s="24"/>
      <c r="N47" s="24"/>
      <c r="O47" s="24"/>
      <c r="P47" s="24"/>
      <c r="Q47" s="24"/>
      <c r="R47" s="24"/>
      <c r="S47" s="24"/>
      <c r="T47" s="24"/>
      <c r="U47" s="24"/>
    </row>
    <row r="48" spans="1:21" x14ac:dyDescent="0.15">
      <c r="A48" s="24"/>
      <c r="B48" s="24"/>
      <c r="C48" s="24"/>
      <c r="D48" s="24"/>
      <c r="E48" s="24"/>
      <c r="F48" s="24"/>
      <c r="G48" s="24"/>
      <c r="H48" s="24"/>
      <c r="I48" s="24"/>
      <c r="J48" s="24"/>
      <c r="K48" s="24"/>
      <c r="L48" s="24"/>
      <c r="M48" s="24"/>
      <c r="N48" s="24"/>
      <c r="O48" s="24"/>
      <c r="P48" s="24"/>
      <c r="Q48" s="24"/>
      <c r="R48" s="24"/>
      <c r="S48" s="24"/>
      <c r="T48" s="24"/>
      <c r="U48" s="24"/>
    </row>
    <row r="49" spans="1:21" x14ac:dyDescent="0.15">
      <c r="A49" s="24"/>
      <c r="B49" s="24"/>
      <c r="C49" s="24"/>
      <c r="D49" s="24"/>
      <c r="E49" s="24"/>
      <c r="F49" s="24"/>
      <c r="G49" s="24"/>
      <c r="H49" s="24"/>
      <c r="I49" s="24"/>
      <c r="J49" s="24"/>
      <c r="K49" s="24"/>
      <c r="L49" s="24"/>
      <c r="M49" s="24"/>
      <c r="N49" s="24"/>
      <c r="O49" s="24"/>
      <c r="P49" s="24"/>
      <c r="Q49" s="24"/>
      <c r="R49" s="24"/>
      <c r="S49" s="24"/>
      <c r="T49" s="24"/>
      <c r="U49" s="24"/>
    </row>
    <row r="50" spans="1:21" x14ac:dyDescent="0.15">
      <c r="A50" s="24"/>
      <c r="B50" s="24"/>
      <c r="C50" s="24"/>
      <c r="D50" s="24"/>
      <c r="E50" s="24"/>
      <c r="F50" s="24"/>
      <c r="G50" s="24"/>
      <c r="H50" s="24"/>
      <c r="I50" s="24"/>
      <c r="J50" s="24"/>
      <c r="K50" s="24"/>
      <c r="L50" s="24"/>
      <c r="M50" s="24"/>
      <c r="N50" s="24"/>
      <c r="O50" s="24"/>
      <c r="P50" s="24"/>
      <c r="Q50" s="24"/>
      <c r="R50" s="24"/>
      <c r="S50" s="24"/>
      <c r="T50" s="24"/>
      <c r="U50" s="24"/>
    </row>
    <row r="51" spans="1:21" x14ac:dyDescent="0.15">
      <c r="A51" s="24"/>
      <c r="B51" s="24"/>
      <c r="C51" s="24"/>
      <c r="D51" s="24"/>
      <c r="E51" s="24"/>
      <c r="F51" s="24"/>
      <c r="G51" s="24"/>
      <c r="H51" s="24"/>
      <c r="I51" s="24"/>
      <c r="J51" s="24"/>
      <c r="K51" s="24"/>
      <c r="L51" s="24"/>
      <c r="M51" s="24"/>
      <c r="N51" s="24"/>
      <c r="O51" s="24"/>
      <c r="P51" s="24"/>
      <c r="Q51" s="24"/>
      <c r="R51" s="24"/>
      <c r="S51" s="24"/>
      <c r="T51" s="24"/>
      <c r="U51" s="24"/>
    </row>
    <row r="52" spans="1:21" x14ac:dyDescent="0.15">
      <c r="A52" s="24"/>
      <c r="B52" s="24"/>
      <c r="C52" s="24"/>
      <c r="D52" s="24"/>
      <c r="E52" s="24"/>
      <c r="F52" s="24"/>
      <c r="G52" s="24"/>
      <c r="H52" s="24"/>
      <c r="I52" s="24"/>
      <c r="J52" s="24"/>
      <c r="K52" s="24"/>
      <c r="L52" s="24"/>
      <c r="M52" s="24"/>
      <c r="N52" s="24"/>
      <c r="O52" s="24"/>
      <c r="P52" s="24"/>
      <c r="Q52" s="24"/>
      <c r="R52" s="24"/>
      <c r="S52" s="24"/>
      <c r="T52" s="24"/>
      <c r="U52" s="24"/>
    </row>
    <row r="53" spans="1:21" x14ac:dyDescent="0.15">
      <c r="A53" s="24"/>
      <c r="B53" s="24"/>
      <c r="C53" s="24"/>
      <c r="D53" s="24"/>
      <c r="E53" s="24"/>
      <c r="F53" s="24"/>
      <c r="G53" s="24"/>
      <c r="H53" s="24"/>
      <c r="I53" s="24"/>
      <c r="J53" s="24"/>
      <c r="K53" s="24"/>
      <c r="L53" s="24"/>
      <c r="M53" s="24"/>
      <c r="N53" s="24"/>
      <c r="O53" s="24"/>
      <c r="P53" s="24"/>
      <c r="Q53" s="24"/>
      <c r="R53" s="24"/>
      <c r="S53" s="24"/>
      <c r="T53" s="24"/>
      <c r="U53" s="24"/>
    </row>
    <row r="54" spans="1:21" x14ac:dyDescent="0.15">
      <c r="A54" s="24"/>
      <c r="B54" s="24"/>
      <c r="C54" s="24"/>
      <c r="D54" s="24"/>
      <c r="E54" s="24"/>
      <c r="F54" s="24"/>
      <c r="G54" s="24"/>
      <c r="H54" s="24"/>
      <c r="I54" s="24"/>
      <c r="J54" s="24"/>
      <c r="K54" s="24"/>
      <c r="L54" s="24"/>
      <c r="M54" s="24"/>
      <c r="N54" s="24"/>
      <c r="O54" s="24"/>
      <c r="P54" s="24"/>
      <c r="Q54" s="24"/>
      <c r="R54" s="24"/>
      <c r="S54" s="24"/>
      <c r="T54" s="24"/>
      <c r="U54" s="24"/>
    </row>
    <row r="55" spans="1:21" x14ac:dyDescent="0.15">
      <c r="A55" s="24"/>
      <c r="B55" s="24"/>
      <c r="C55" s="24"/>
      <c r="D55" s="24"/>
      <c r="E55" s="24"/>
      <c r="F55" s="24"/>
      <c r="G55" s="24"/>
      <c r="H55" s="24"/>
      <c r="I55" s="24"/>
      <c r="J55" s="24"/>
      <c r="K55" s="24"/>
      <c r="L55" s="24"/>
      <c r="M55" s="24"/>
      <c r="N55" s="24"/>
      <c r="O55" s="24"/>
      <c r="P55" s="24"/>
      <c r="Q55" s="24"/>
      <c r="R55" s="24"/>
      <c r="S55" s="24"/>
      <c r="T55" s="24"/>
      <c r="U55" s="24"/>
    </row>
  </sheetData>
  <phoneticPr fontId="26" type="noConversion"/>
  <pageMargins left="0.75" right="0.75" top="1" bottom="1" header="0.5" footer="0.5"/>
  <pageSetup paperSize="9" orientation="portrait" horizontalDpi="4294967293" verticalDpi="0"/>
  <headerFooter alignWithMargins="0"/>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57"/>
  </sheetPr>
  <dimension ref="A1:I81"/>
  <sheetViews>
    <sheetView workbookViewId="0">
      <selection activeCell="I16" sqref="I16"/>
    </sheetView>
  </sheetViews>
  <sheetFormatPr baseColWidth="10" defaultColWidth="10.6640625" defaultRowHeight="13" x14ac:dyDescent="0.15"/>
  <cols>
    <col min="1" max="256" width="8.83203125" customWidth="1"/>
  </cols>
  <sheetData>
    <row r="1" spans="1:9" x14ac:dyDescent="0.15">
      <c r="A1" t="s">
        <v>1051</v>
      </c>
      <c r="B1" s="19"/>
      <c r="C1" s="19"/>
      <c r="D1" s="19"/>
    </row>
    <row r="2" spans="1:9" x14ac:dyDescent="0.15">
      <c r="A2" s="351" t="s">
        <v>868</v>
      </c>
      <c r="B2" s="19" t="s">
        <v>531</v>
      </c>
      <c r="C2" s="19" t="s">
        <v>530</v>
      </c>
      <c r="D2" s="19" t="s">
        <v>532</v>
      </c>
      <c r="E2" s="19" t="s">
        <v>534</v>
      </c>
      <c r="F2" s="19" t="s">
        <v>533</v>
      </c>
      <c r="G2" s="19" t="s">
        <v>535</v>
      </c>
      <c r="I2" t="s">
        <v>512</v>
      </c>
    </row>
    <row r="3" spans="1:9" x14ac:dyDescent="0.15">
      <c r="B3" s="19">
        <f>SQRT(D3-(C3)^2)</f>
        <v>3.5199431813596083</v>
      </c>
      <c r="C3" s="20">
        <v>-1.9</v>
      </c>
      <c r="D3" s="20">
        <v>16</v>
      </c>
      <c r="E3" s="19">
        <f>SQRT(G3-(F4)^2)</f>
        <v>3.5745629103430252</v>
      </c>
      <c r="F3" s="19">
        <v>-1.9</v>
      </c>
      <c r="G3" s="20">
        <v>16.2</v>
      </c>
      <c r="I3" t="s">
        <v>512</v>
      </c>
    </row>
    <row r="4" spans="1:9" x14ac:dyDescent="0.15">
      <c r="B4" s="19">
        <f t="shared" ref="B4:B40" si="0">SQRT(D4-(C4)^2)</f>
        <v>3.5464771252610667</v>
      </c>
      <c r="C4" s="20">
        <f>C3+0.05</f>
        <v>-1.8499999999999999</v>
      </c>
      <c r="D4" s="20">
        <v>16</v>
      </c>
      <c r="E4" s="19">
        <f t="shared" ref="E4:E40" si="1">SQRT(G4-(F5)^2)</f>
        <v>3.6</v>
      </c>
      <c r="F4" s="19">
        <f>F3+0.05</f>
        <v>-1.8499999999999999</v>
      </c>
      <c r="G4" s="20">
        <v>16.2</v>
      </c>
    </row>
    <row r="5" spans="1:9" x14ac:dyDescent="0.15">
      <c r="B5" s="19">
        <f t="shared" si="0"/>
        <v>3.5721142198983507</v>
      </c>
      <c r="C5" s="20">
        <f t="shared" ref="C5:C40" si="2">C4+0.05</f>
        <v>-1.7999999999999998</v>
      </c>
      <c r="D5" s="20">
        <v>16</v>
      </c>
      <c r="E5" s="19">
        <f t="shared" si="1"/>
        <v>3.6245689398878866</v>
      </c>
      <c r="F5" s="20">
        <f t="shared" ref="F5:F40" si="3">F4+0.05</f>
        <v>-1.7999999999999998</v>
      </c>
      <c r="G5" s="20">
        <v>16.2</v>
      </c>
    </row>
    <row r="6" spans="1:9" x14ac:dyDescent="0.15">
      <c r="B6" s="19">
        <f t="shared" si="0"/>
        <v>3.5968736424845398</v>
      </c>
      <c r="C6" s="20">
        <f t="shared" si="2"/>
        <v>-1.7499999999999998</v>
      </c>
      <c r="D6" s="20">
        <v>16</v>
      </c>
      <c r="E6" s="19">
        <f t="shared" si="1"/>
        <v>3.6482872693909401</v>
      </c>
      <c r="F6" s="20">
        <f t="shared" si="3"/>
        <v>-1.7499999999999998</v>
      </c>
      <c r="G6" s="20">
        <v>16.2</v>
      </c>
    </row>
    <row r="7" spans="1:9" x14ac:dyDescent="0.15">
      <c r="B7" s="19">
        <f t="shared" si="0"/>
        <v>3.6207733980463348</v>
      </c>
      <c r="C7" s="20">
        <f t="shared" si="2"/>
        <v>-1.6999999999999997</v>
      </c>
      <c r="D7" s="20">
        <v>16</v>
      </c>
      <c r="E7" s="19">
        <f t="shared" si="1"/>
        <v>3.6711714751561253</v>
      </c>
      <c r="F7" s="20">
        <f t="shared" si="3"/>
        <v>-1.6999999999999997</v>
      </c>
      <c r="G7" s="20">
        <v>16.2</v>
      </c>
    </row>
    <row r="8" spans="1:9" x14ac:dyDescent="0.15">
      <c r="B8" s="19">
        <f t="shared" si="0"/>
        <v>3.6438304022004098</v>
      </c>
      <c r="C8" s="20">
        <f t="shared" si="2"/>
        <v>-1.6499999999999997</v>
      </c>
      <c r="D8" s="20">
        <v>16</v>
      </c>
      <c r="E8" s="19">
        <f t="shared" si="1"/>
        <v>3.6932370625238775</v>
      </c>
      <c r="F8" s="20">
        <f t="shared" si="3"/>
        <v>-1.6499999999999997</v>
      </c>
      <c r="G8" s="20">
        <v>16.2</v>
      </c>
    </row>
    <row r="9" spans="1:9" x14ac:dyDescent="0.15">
      <c r="B9" s="19">
        <f t="shared" si="0"/>
        <v>3.6660605559646724</v>
      </c>
      <c r="C9" s="20">
        <f t="shared" si="2"/>
        <v>-1.5999999999999996</v>
      </c>
      <c r="D9" s="20">
        <v>16</v>
      </c>
      <c r="E9" s="19">
        <f t="shared" si="1"/>
        <v>3.7144986202716512</v>
      </c>
      <c r="F9" s="20">
        <f t="shared" si="3"/>
        <v>-1.5999999999999996</v>
      </c>
      <c r="G9" s="20">
        <v>16.2</v>
      </c>
    </row>
    <row r="10" spans="1:9" x14ac:dyDescent="0.15">
      <c r="B10" s="19">
        <f t="shared" si="0"/>
        <v>3.6874788134984584</v>
      </c>
      <c r="C10" s="20">
        <f t="shared" si="2"/>
        <v>-1.5499999999999996</v>
      </c>
      <c r="D10" s="20">
        <v>16</v>
      </c>
      <c r="E10" s="19">
        <f t="shared" si="1"/>
        <v>3.73496987939662</v>
      </c>
      <c r="F10" s="20">
        <f t="shared" si="3"/>
        <v>-1.5499999999999996</v>
      </c>
      <c r="G10" s="20">
        <v>16.2</v>
      </c>
    </row>
    <row r="11" spans="1:9" x14ac:dyDescent="0.15">
      <c r="B11" s="19">
        <f t="shared" si="0"/>
        <v>3.7080992435478319</v>
      </c>
      <c r="C11" s="20">
        <f t="shared" si="2"/>
        <v>-1.4999999999999996</v>
      </c>
      <c r="D11" s="20">
        <v>16</v>
      </c>
      <c r="E11" s="19">
        <f t="shared" si="1"/>
        <v>3.7546637665708498</v>
      </c>
      <c r="F11" s="20">
        <f t="shared" si="3"/>
        <v>-1.4999999999999996</v>
      </c>
      <c r="G11" s="20">
        <v>16.2</v>
      </c>
    </row>
    <row r="12" spans="1:9" x14ac:dyDescent="0.15">
      <c r="B12" s="19">
        <f t="shared" si="0"/>
        <v>3.7279350852717381</v>
      </c>
      <c r="C12" s="20">
        <f t="shared" si="2"/>
        <v>-1.4499999999999995</v>
      </c>
      <c r="D12" s="20">
        <v>16</v>
      </c>
      <c r="E12" s="19">
        <f t="shared" si="1"/>
        <v>3.7735924528226414</v>
      </c>
      <c r="F12" s="20">
        <f t="shared" si="3"/>
        <v>-1.4499999999999995</v>
      </c>
      <c r="G12" s="20">
        <v>16.2</v>
      </c>
    </row>
    <row r="13" spans="1:9" x14ac:dyDescent="0.15">
      <c r="B13" s="19">
        <f t="shared" si="0"/>
        <v>3.746998799039039</v>
      </c>
      <c r="C13" s="20">
        <f t="shared" si="2"/>
        <v>-1.3999999999999995</v>
      </c>
      <c r="D13" s="20">
        <v>16</v>
      </c>
      <c r="E13" s="19">
        <f t="shared" si="1"/>
        <v>3.7917673979293616</v>
      </c>
      <c r="F13" s="20">
        <f t="shared" si="3"/>
        <v>-1.3999999999999995</v>
      </c>
      <c r="G13" s="20">
        <v>16.2</v>
      </c>
    </row>
    <row r="14" spans="1:9" x14ac:dyDescent="0.15">
      <c r="B14" s="19">
        <f t="shared" si="0"/>
        <v>3.7653021127128699</v>
      </c>
      <c r="C14" s="20">
        <f t="shared" si="2"/>
        <v>-1.3499999999999994</v>
      </c>
      <c r="D14" s="20">
        <v>16</v>
      </c>
      <c r="E14" s="19">
        <f t="shared" si="1"/>
        <v>3.8091993909481823</v>
      </c>
      <c r="F14" s="20">
        <f t="shared" si="3"/>
        <v>-1.3499999999999994</v>
      </c>
      <c r="G14" s="20">
        <v>16.2</v>
      </c>
    </row>
    <row r="15" spans="1:9" x14ac:dyDescent="0.15">
      <c r="B15" s="19">
        <f t="shared" si="0"/>
        <v>3.7828560638755477</v>
      </c>
      <c r="C15" s="20">
        <f t="shared" si="2"/>
        <v>-1.2999999999999994</v>
      </c>
      <c r="D15" s="20">
        <v>16</v>
      </c>
      <c r="E15" s="19">
        <f t="shared" si="1"/>
        <v>3.8258985872602533</v>
      </c>
      <c r="F15" s="20">
        <f t="shared" si="3"/>
        <v>-1.2999999999999994</v>
      </c>
      <c r="G15" s="20">
        <v>16.2</v>
      </c>
    </row>
    <row r="16" spans="1:9" x14ac:dyDescent="0.15">
      <c r="B16" s="19">
        <f t="shared" si="0"/>
        <v>3.799671038392666</v>
      </c>
      <c r="C16" s="20">
        <f t="shared" si="2"/>
        <v>-1.2499999999999993</v>
      </c>
      <c r="D16" s="20">
        <v>16</v>
      </c>
      <c r="E16" s="19">
        <f t="shared" si="1"/>
        <v>3.8418745424597094</v>
      </c>
      <c r="F16" s="20">
        <f t="shared" si="3"/>
        <v>-1.2499999999999993</v>
      </c>
      <c r="G16" s="20">
        <v>16.2</v>
      </c>
    </row>
    <row r="17" spans="2:7" x14ac:dyDescent="0.15">
      <c r="B17" s="19">
        <f t="shared" si="0"/>
        <v>3.8157568056677831</v>
      </c>
      <c r="C17" s="20">
        <f t="shared" si="2"/>
        <v>-1.1999999999999993</v>
      </c>
      <c r="D17" s="20">
        <v>16</v>
      </c>
      <c r="E17" s="19">
        <f t="shared" si="1"/>
        <v>3.8571362433805731</v>
      </c>
      <c r="F17" s="20">
        <f t="shared" si="3"/>
        <v>-1.1999999999999993</v>
      </c>
      <c r="G17" s="20">
        <v>16.2</v>
      </c>
    </row>
    <row r="18" spans="2:7" x14ac:dyDescent="0.15">
      <c r="B18" s="19">
        <f t="shared" si="0"/>
        <v>3.8311225508981051</v>
      </c>
      <c r="C18" s="20">
        <f t="shared" si="2"/>
        <v>-1.1499999999999992</v>
      </c>
      <c r="D18" s="20">
        <v>16</v>
      </c>
      <c r="E18" s="19">
        <f t="shared" si="1"/>
        <v>3.871692136521188</v>
      </c>
      <c r="F18" s="20">
        <f t="shared" si="3"/>
        <v>-1.1499999999999992</v>
      </c>
      <c r="G18" s="20">
        <v>16.2</v>
      </c>
    </row>
    <row r="19" spans="2:7" x14ac:dyDescent="0.15">
      <c r="B19" s="19">
        <f t="shared" si="0"/>
        <v>3.8457769046058825</v>
      </c>
      <c r="C19" s="20">
        <f t="shared" si="2"/>
        <v>-1.0999999999999992</v>
      </c>
      <c r="D19" s="20">
        <v>16</v>
      </c>
      <c r="E19" s="19">
        <f t="shared" si="1"/>
        <v>3.8855501540965856</v>
      </c>
      <c r="F19" s="20">
        <f t="shared" si="3"/>
        <v>-1.0999999999999992</v>
      </c>
      <c r="G19" s="20">
        <v>16.2</v>
      </c>
    </row>
    <row r="20" spans="2:7" x14ac:dyDescent="0.15">
      <c r="B20" s="19">
        <f t="shared" si="0"/>
        <v>3.8597279696890556</v>
      </c>
      <c r="C20" s="20">
        <f t="shared" si="2"/>
        <v>-1.0499999999999992</v>
      </c>
      <c r="D20" s="20">
        <v>16</v>
      </c>
      <c r="E20" s="19">
        <f t="shared" si="1"/>
        <v>3.8987177379235858</v>
      </c>
      <c r="F20" s="20">
        <f t="shared" si="3"/>
        <v>-1.0499999999999992</v>
      </c>
      <c r="G20" s="20">
        <v>16.2</v>
      </c>
    </row>
    <row r="21" spans="2:7" x14ac:dyDescent="0.15">
      <c r="B21" s="19">
        <f t="shared" si="0"/>
        <v>3.872983346207417</v>
      </c>
      <c r="C21" s="20">
        <f t="shared" si="2"/>
        <v>-0.99999999999999911</v>
      </c>
      <c r="D21" s="20">
        <v>16</v>
      </c>
      <c r="E21" s="19">
        <f t="shared" si="1"/>
        <v>3.9112018613208908</v>
      </c>
      <c r="F21" s="20">
        <f t="shared" si="3"/>
        <v>-0.99999999999999911</v>
      </c>
      <c r="G21" s="20">
        <v>16.2</v>
      </c>
    </row>
    <row r="22" spans="2:7" x14ac:dyDescent="0.15">
      <c r="B22" s="19">
        <f t="shared" si="0"/>
        <v>3.885550154096586</v>
      </c>
      <c r="C22" s="20">
        <f t="shared" si="2"/>
        <v>-0.94999999999999907</v>
      </c>
      <c r="D22" s="20">
        <v>16</v>
      </c>
      <c r="E22" s="19">
        <f t="shared" si="1"/>
        <v>3.9230090491866063</v>
      </c>
      <c r="F22" s="20">
        <f t="shared" si="3"/>
        <v>-0.94999999999999907</v>
      </c>
      <c r="G22" s="20">
        <v>16.2</v>
      </c>
    </row>
    <row r="23" spans="2:7" x14ac:dyDescent="0.15">
      <c r="B23" s="19">
        <f t="shared" si="0"/>
        <v>3.8974350539810154</v>
      </c>
      <c r="C23" s="20">
        <f t="shared" si="2"/>
        <v>-0.89999999999999902</v>
      </c>
      <c r="D23" s="20">
        <v>16</v>
      </c>
      <c r="E23" s="19">
        <f t="shared" si="1"/>
        <v>3.9341453963980539</v>
      </c>
      <c r="F23" s="20">
        <f t="shared" si="3"/>
        <v>-0.89999999999999902</v>
      </c>
      <c r="G23" s="20">
        <v>16.2</v>
      </c>
    </row>
    <row r="24" spans="2:7" x14ac:dyDescent="0.15">
      <c r="B24" s="19">
        <f t="shared" si="0"/>
        <v>3.9086442662386149</v>
      </c>
      <c r="C24" s="20">
        <f t="shared" si="2"/>
        <v>-0.84999999999999898</v>
      </c>
      <c r="D24" s="20">
        <v>16</v>
      </c>
      <c r="E24" s="19">
        <f t="shared" si="1"/>
        <v>3.944616584663204</v>
      </c>
      <c r="F24" s="20">
        <f t="shared" si="3"/>
        <v>-0.84999999999999898</v>
      </c>
      <c r="G24" s="20">
        <v>16.2</v>
      </c>
    </row>
    <row r="25" spans="2:7" x14ac:dyDescent="0.15">
      <c r="B25" s="19">
        <f t="shared" si="0"/>
        <v>3.9191835884530852</v>
      </c>
      <c r="C25" s="20">
        <f t="shared" si="2"/>
        <v>-0.79999999999999893</v>
      </c>
      <c r="D25" s="20">
        <v>16</v>
      </c>
      <c r="E25" s="19">
        <f t="shared" si="1"/>
        <v>3.9544278979392202</v>
      </c>
      <c r="F25" s="20">
        <f t="shared" si="3"/>
        <v>-0.79999999999999893</v>
      </c>
      <c r="G25" s="20">
        <v>16.2</v>
      </c>
    </row>
    <row r="26" spans="2:7" x14ac:dyDescent="0.15">
      <c r="B26" s="19">
        <f t="shared" si="0"/>
        <v>3.9290584113754279</v>
      </c>
      <c r="C26" s="20">
        <f t="shared" si="2"/>
        <v>-0.74999999999999889</v>
      </c>
      <c r="D26" s="20">
        <v>16</v>
      </c>
      <c r="E26" s="19">
        <f t="shared" si="1"/>
        <v>3.963584236521283</v>
      </c>
      <c r="F26" s="20">
        <f t="shared" si="3"/>
        <v>-0.74999999999999889</v>
      </c>
      <c r="G26" s="20">
        <v>16.2</v>
      </c>
    </row>
    <row r="27" spans="2:7" x14ac:dyDescent="0.15">
      <c r="B27" s="19">
        <f t="shared" si="0"/>
        <v>3.9382737335030433</v>
      </c>
      <c r="C27" s="20">
        <f t="shared" si="2"/>
        <v>-0.69999999999999885</v>
      </c>
      <c r="D27" s="20">
        <v>16</v>
      </c>
      <c r="E27" s="19">
        <f t="shared" si="1"/>
        <v>3.9720901298938323</v>
      </c>
      <c r="F27" s="20">
        <f t="shared" si="3"/>
        <v>-0.69999999999999885</v>
      </c>
      <c r="G27" s="20">
        <v>16.2</v>
      </c>
    </row>
    <row r="28" spans="2:7" x14ac:dyDescent="0.15">
      <c r="B28" s="19">
        <f t="shared" si="0"/>
        <v>3.9468341743731776</v>
      </c>
      <c r="C28" s="20">
        <f t="shared" si="2"/>
        <v>-0.6499999999999988</v>
      </c>
      <c r="D28" s="20">
        <v>16</v>
      </c>
      <c r="E28" s="21">
        <f t="shared" si="1"/>
        <v>3.9799497484264799</v>
      </c>
      <c r="F28" s="20">
        <f t="shared" si="3"/>
        <v>-0.6499999999999988</v>
      </c>
      <c r="G28" s="20">
        <v>16.2</v>
      </c>
    </row>
    <row r="29" spans="2:7" x14ac:dyDescent="0.15">
      <c r="B29" s="19">
        <f t="shared" si="0"/>
        <v>3.954743986657038</v>
      </c>
      <c r="C29" s="20">
        <f t="shared" si="2"/>
        <v>-0.59999999999999876</v>
      </c>
      <c r="D29" s="20">
        <v>16</v>
      </c>
      <c r="E29" s="19">
        <f t="shared" si="1"/>
        <v>3.987166913987926</v>
      </c>
      <c r="F29" s="20">
        <f t="shared" si="3"/>
        <v>-0.59999999999999876</v>
      </c>
      <c r="G29" s="20">
        <v>16.2</v>
      </c>
    </row>
    <row r="30" spans="2:7" x14ac:dyDescent="0.15">
      <c r="B30" s="19">
        <f t="shared" si="0"/>
        <v>3.9620070671315064</v>
      </c>
      <c r="C30" s="20">
        <f t="shared" si="2"/>
        <v>-0.54999999999999871</v>
      </c>
      <c r="D30" s="20">
        <v>16</v>
      </c>
      <c r="E30" s="19">
        <f t="shared" si="1"/>
        <v>3.993745109543172</v>
      </c>
      <c r="F30" s="20">
        <f t="shared" si="3"/>
        <v>-0.54999999999999871</v>
      </c>
      <c r="G30" s="20">
        <v>16.2</v>
      </c>
    </row>
    <row r="31" spans="2:7" x14ac:dyDescent="0.15">
      <c r="B31" s="19">
        <f t="shared" si="0"/>
        <v>3.9686269665968861</v>
      </c>
      <c r="C31" s="20">
        <f t="shared" si="2"/>
        <v>-0.49999999999999872</v>
      </c>
      <c r="D31" s="20">
        <v>16</v>
      </c>
      <c r="E31" s="19">
        <f t="shared" si="1"/>
        <v>3.999687487792015</v>
      </c>
      <c r="F31" s="20">
        <f t="shared" si="3"/>
        <v>-0.49999999999999872</v>
      </c>
      <c r="G31" s="20">
        <v>16.2</v>
      </c>
    </row>
    <row r="32" spans="2:7" x14ac:dyDescent="0.15">
      <c r="B32" s="19">
        <f t="shared" si="0"/>
        <v>3.97460689880144</v>
      </c>
      <c r="C32" s="20">
        <f t="shared" si="2"/>
        <v>-0.44999999999999873</v>
      </c>
      <c r="D32" s="20">
        <v>16</v>
      </c>
      <c r="E32" s="19">
        <f t="shared" si="1"/>
        <v>4.0049968789001573</v>
      </c>
      <c r="F32" s="20">
        <f t="shared" si="3"/>
        <v>-0.44999999999999873</v>
      </c>
      <c r="G32" s="20">
        <v>16.2</v>
      </c>
    </row>
    <row r="33" spans="2:9" x14ac:dyDescent="0.15">
      <c r="B33" s="19">
        <f t="shared" si="0"/>
        <v>3.9799497484264799</v>
      </c>
      <c r="C33" s="20">
        <f t="shared" si="2"/>
        <v>-0.39999999999999875</v>
      </c>
      <c r="D33" s="20">
        <v>16</v>
      </c>
      <c r="E33" s="19">
        <f t="shared" si="1"/>
        <v>4.0096757973681614</v>
      </c>
      <c r="F33" s="20">
        <f t="shared" si="3"/>
        <v>-0.39999999999999875</v>
      </c>
      <c r="G33" s="20">
        <v>16.2</v>
      </c>
    </row>
    <row r="34" spans="2:9" x14ac:dyDescent="0.15">
      <c r="B34" s="19">
        <f t="shared" si="0"/>
        <v>3.9846580781793564</v>
      </c>
      <c r="C34" s="20">
        <f t="shared" si="2"/>
        <v>-0.34999999999999876</v>
      </c>
      <c r="D34" s="20">
        <v>16</v>
      </c>
      <c r="E34" s="19">
        <f t="shared" si="1"/>
        <v>4.0137264480778958</v>
      </c>
      <c r="F34" s="20">
        <f t="shared" si="3"/>
        <v>-0.34999999999999876</v>
      </c>
      <c r="G34" s="20">
        <v>16.2</v>
      </c>
    </row>
    <row r="35" spans="2:9" x14ac:dyDescent="0.15">
      <c r="B35" s="19">
        <f t="shared" si="0"/>
        <v>3.9887341350358261</v>
      </c>
      <c r="C35" s="20">
        <f t="shared" si="2"/>
        <v>-0.29999999999999877</v>
      </c>
      <c r="D35" s="20">
        <v>16</v>
      </c>
      <c r="E35" s="19">
        <f t="shared" si="1"/>
        <v>4.0171507315509087</v>
      </c>
      <c r="F35" s="20">
        <f t="shared" si="3"/>
        <v>-0.29999999999999877</v>
      </c>
      <c r="G35" s="20">
        <v>16.2</v>
      </c>
    </row>
    <row r="36" spans="2:9" x14ac:dyDescent="0.15">
      <c r="B36" s="19">
        <f t="shared" si="0"/>
        <v>3.9921798556678278</v>
      </c>
      <c r="C36" s="20">
        <f t="shared" si="2"/>
        <v>-0.24999999999999878</v>
      </c>
      <c r="D36" s="20">
        <v>16</v>
      </c>
      <c r="E36" s="19">
        <f t="shared" si="1"/>
        <v>4.0199502484483558</v>
      </c>
      <c r="F36" s="20">
        <f t="shared" si="3"/>
        <v>-0.24999999999999878</v>
      </c>
      <c r="G36" s="20">
        <v>16.2</v>
      </c>
    </row>
    <row r="37" spans="2:9" x14ac:dyDescent="0.15">
      <c r="B37" s="19">
        <f t="shared" si="0"/>
        <v>3.9949968710876358</v>
      </c>
      <c r="C37" s="20">
        <f t="shared" si="2"/>
        <v>-0.19999999999999879</v>
      </c>
      <c r="D37" s="20">
        <v>16</v>
      </c>
      <c r="E37" s="19">
        <f t="shared" si="1"/>
        <v>4.0221263033375765</v>
      </c>
      <c r="F37" s="20">
        <f t="shared" si="3"/>
        <v>-0.19999999999999879</v>
      </c>
      <c r="G37" s="20">
        <v>16.2</v>
      </c>
    </row>
    <row r="38" spans="2:9" x14ac:dyDescent="0.15">
      <c r="B38" s="19">
        <f t="shared" si="0"/>
        <v>3.9971865105346285</v>
      </c>
      <c r="C38" s="20">
        <f t="shared" si="2"/>
        <v>-0.1499999999999988</v>
      </c>
      <c r="D38" s="20">
        <v>16</v>
      </c>
      <c r="E38" s="19">
        <f t="shared" si="1"/>
        <v>4.0236799077461418</v>
      </c>
      <c r="F38" s="20">
        <f t="shared" si="3"/>
        <v>-0.1499999999999988</v>
      </c>
      <c r="G38" s="20">
        <v>16.2</v>
      </c>
    </row>
    <row r="39" spans="2:9" x14ac:dyDescent="0.15">
      <c r="B39" s="19">
        <f t="shared" si="0"/>
        <v>3.9987498046264411</v>
      </c>
      <c r="C39" s="20">
        <f t="shared" si="2"/>
        <v>-9.9999999999998798E-2</v>
      </c>
      <c r="D39" s="20">
        <v>16</v>
      </c>
      <c r="E39" s="19">
        <f t="shared" si="1"/>
        <v>4.0246117825201475</v>
      </c>
      <c r="F39" s="20">
        <f t="shared" si="3"/>
        <v>-9.9999999999998798E-2</v>
      </c>
      <c r="G39" s="20">
        <v>16.2</v>
      </c>
    </row>
    <row r="40" spans="2:9" x14ac:dyDescent="0.15">
      <c r="B40" s="19">
        <f t="shared" si="0"/>
        <v>3.999687487792015</v>
      </c>
      <c r="C40" s="20">
        <f t="shared" si="2"/>
        <v>-4.9999999999998795E-2</v>
      </c>
      <c r="D40" s="20">
        <v>16</v>
      </c>
      <c r="E40" s="19">
        <f t="shared" si="1"/>
        <v>4.0249223594996213</v>
      </c>
      <c r="F40" s="20">
        <f t="shared" si="3"/>
        <v>-4.9999999999998795E-2</v>
      </c>
      <c r="G40" s="20">
        <v>16.2</v>
      </c>
    </row>
    <row r="41" spans="2:9" x14ac:dyDescent="0.15">
      <c r="B41" s="22">
        <v>4</v>
      </c>
      <c r="C41" s="23">
        <v>0</v>
      </c>
      <c r="D41" s="23">
        <v>16</v>
      </c>
      <c r="E41" s="24">
        <f>SQRT(G41-(F41)^2)</f>
        <v>4.0249223594996213</v>
      </c>
      <c r="F41" s="24">
        <v>0</v>
      </c>
      <c r="G41" s="20">
        <v>16.2</v>
      </c>
      <c r="I41" t="s">
        <v>512</v>
      </c>
    </row>
    <row r="42" spans="2:9" x14ac:dyDescent="0.15">
      <c r="B42">
        <f>SQRT(D42-(C42)^2)</f>
        <v>3.999687487792015</v>
      </c>
      <c r="C42">
        <v>0.05</v>
      </c>
      <c r="D42">
        <v>16</v>
      </c>
      <c r="E42">
        <f t="shared" ref="E42:E79" si="4">SQRT(G42-(F42)^2)</f>
        <v>4.0246117825201475</v>
      </c>
      <c r="F42">
        <v>0.05</v>
      </c>
      <c r="G42" s="20">
        <v>16.2</v>
      </c>
    </row>
    <row r="43" spans="2:9" x14ac:dyDescent="0.15">
      <c r="B43">
        <f t="shared" ref="B43:B79" si="5">SQRT(D43-(C43)^2)</f>
        <v>3.9987498046264411</v>
      </c>
      <c r="C43">
        <f>C42+0.05</f>
        <v>0.1</v>
      </c>
      <c r="D43">
        <v>16</v>
      </c>
      <c r="E43">
        <f t="shared" si="4"/>
        <v>4.0236799077461418</v>
      </c>
      <c r="F43">
        <f>F42+0.05</f>
        <v>0.1</v>
      </c>
      <c r="G43" s="20">
        <v>16.2</v>
      </c>
    </row>
    <row r="44" spans="2:9" x14ac:dyDescent="0.15">
      <c r="B44">
        <f t="shared" si="5"/>
        <v>3.9971865105346285</v>
      </c>
      <c r="C44">
        <f t="shared" ref="C44:C79" si="6">C43+0.05</f>
        <v>0.15000000000000002</v>
      </c>
      <c r="D44">
        <v>16</v>
      </c>
      <c r="E44">
        <f t="shared" si="4"/>
        <v>4.0221263033375765</v>
      </c>
      <c r="F44">
        <f t="shared" ref="F44:F79" si="7">F43+0.05</f>
        <v>0.15000000000000002</v>
      </c>
      <c r="G44" s="20">
        <v>16.2</v>
      </c>
    </row>
    <row r="45" spans="2:9" x14ac:dyDescent="0.15">
      <c r="B45">
        <f t="shared" si="5"/>
        <v>3.9949968710876358</v>
      </c>
      <c r="C45">
        <f t="shared" si="6"/>
        <v>0.2</v>
      </c>
      <c r="D45">
        <v>16</v>
      </c>
      <c r="E45">
        <f t="shared" si="4"/>
        <v>4.0199502484483558</v>
      </c>
      <c r="F45">
        <f t="shared" si="7"/>
        <v>0.2</v>
      </c>
      <c r="G45" s="20">
        <v>16.2</v>
      </c>
    </row>
    <row r="46" spans="2:9" x14ac:dyDescent="0.15">
      <c r="B46">
        <f t="shared" si="5"/>
        <v>3.9921798556678278</v>
      </c>
      <c r="C46">
        <f t="shared" si="6"/>
        <v>0.25</v>
      </c>
      <c r="D46">
        <v>16</v>
      </c>
      <c r="E46">
        <f t="shared" si="4"/>
        <v>4.0171507315509087</v>
      </c>
      <c r="F46">
        <f t="shared" si="7"/>
        <v>0.25</v>
      </c>
      <c r="G46" s="20">
        <v>16.2</v>
      </c>
    </row>
    <row r="47" spans="2:9" x14ac:dyDescent="0.15">
      <c r="B47">
        <f t="shared" si="5"/>
        <v>3.9887341350358261</v>
      </c>
      <c r="C47">
        <f t="shared" si="6"/>
        <v>0.3</v>
      </c>
      <c r="D47">
        <v>16</v>
      </c>
      <c r="E47">
        <f t="shared" si="4"/>
        <v>4.0137264480778958</v>
      </c>
      <c r="F47">
        <f t="shared" si="7"/>
        <v>0.3</v>
      </c>
      <c r="G47" s="20">
        <v>16.2</v>
      </c>
    </row>
    <row r="48" spans="2:9" x14ac:dyDescent="0.15">
      <c r="B48">
        <f t="shared" si="5"/>
        <v>3.9846580781793559</v>
      </c>
      <c r="C48">
        <f t="shared" si="6"/>
        <v>0.35</v>
      </c>
      <c r="D48">
        <v>16</v>
      </c>
      <c r="E48">
        <f t="shared" si="4"/>
        <v>4.0096757973681614</v>
      </c>
      <c r="F48">
        <f t="shared" si="7"/>
        <v>0.35</v>
      </c>
      <c r="G48" s="20">
        <v>16.2</v>
      </c>
    </row>
    <row r="49" spans="2:7" x14ac:dyDescent="0.15">
      <c r="B49">
        <f t="shared" si="5"/>
        <v>3.9799497484264799</v>
      </c>
      <c r="C49">
        <f t="shared" si="6"/>
        <v>0.39999999999999997</v>
      </c>
      <c r="D49">
        <v>16</v>
      </c>
      <c r="E49">
        <f t="shared" si="4"/>
        <v>4.0049968789001573</v>
      </c>
      <c r="F49">
        <f t="shared" si="7"/>
        <v>0.39999999999999997</v>
      </c>
      <c r="G49" s="20">
        <v>16.2</v>
      </c>
    </row>
    <row r="50" spans="2:7" x14ac:dyDescent="0.15">
      <c r="B50">
        <f t="shared" si="5"/>
        <v>3.97460689880144</v>
      </c>
      <c r="C50">
        <f t="shared" si="6"/>
        <v>0.44999999999999996</v>
      </c>
      <c r="D50">
        <v>16</v>
      </c>
      <c r="E50">
        <f t="shared" si="4"/>
        <v>3.999687487792015</v>
      </c>
      <c r="F50">
        <f t="shared" si="7"/>
        <v>0.44999999999999996</v>
      </c>
      <c r="G50" s="20">
        <v>16.2</v>
      </c>
    </row>
    <row r="51" spans="2:7" x14ac:dyDescent="0.15">
      <c r="B51">
        <f t="shared" si="5"/>
        <v>3.9686269665968861</v>
      </c>
      <c r="C51">
        <f t="shared" si="6"/>
        <v>0.49999999999999994</v>
      </c>
      <c r="D51">
        <v>16</v>
      </c>
      <c r="E51">
        <f t="shared" si="4"/>
        <v>3.9937451095431715</v>
      </c>
      <c r="F51">
        <f t="shared" si="7"/>
        <v>0.49999999999999994</v>
      </c>
      <c r="G51" s="20">
        <v>16.2</v>
      </c>
    </row>
    <row r="52" spans="2:7" x14ac:dyDescent="0.15">
      <c r="B52">
        <f t="shared" si="5"/>
        <v>3.9620070671315064</v>
      </c>
      <c r="C52">
        <f t="shared" si="6"/>
        <v>0.54999999999999993</v>
      </c>
      <c r="D52">
        <v>16</v>
      </c>
      <c r="E52">
        <f t="shared" si="4"/>
        <v>3.9871669139879256</v>
      </c>
      <c r="F52">
        <f t="shared" si="7"/>
        <v>0.54999999999999993</v>
      </c>
      <c r="G52" s="20">
        <v>16.2</v>
      </c>
    </row>
    <row r="53" spans="2:7" x14ac:dyDescent="0.15">
      <c r="B53">
        <f t="shared" si="5"/>
        <v>3.954743986657038</v>
      </c>
      <c r="C53">
        <f t="shared" si="6"/>
        <v>0.6</v>
      </c>
      <c r="D53">
        <v>16</v>
      </c>
      <c r="E53">
        <f t="shared" si="4"/>
        <v>3.9799497484264799</v>
      </c>
      <c r="F53">
        <f t="shared" si="7"/>
        <v>0.6</v>
      </c>
      <c r="G53" s="20">
        <v>16.2</v>
      </c>
    </row>
    <row r="54" spans="2:7" x14ac:dyDescent="0.15">
      <c r="B54">
        <f t="shared" si="5"/>
        <v>3.9468341743731772</v>
      </c>
      <c r="C54">
        <f t="shared" si="6"/>
        <v>0.65</v>
      </c>
      <c r="D54">
        <v>16</v>
      </c>
      <c r="E54">
        <f t="shared" si="4"/>
        <v>3.9720901298938323</v>
      </c>
      <c r="F54">
        <f t="shared" si="7"/>
        <v>0.65</v>
      </c>
      <c r="G54" s="20">
        <v>16.2</v>
      </c>
    </row>
    <row r="55" spans="2:7" x14ac:dyDescent="0.15">
      <c r="B55">
        <f t="shared" si="5"/>
        <v>3.9382737335030433</v>
      </c>
      <c r="C55">
        <f t="shared" si="6"/>
        <v>0.70000000000000007</v>
      </c>
      <c r="D55">
        <v>16</v>
      </c>
      <c r="E55">
        <f t="shared" si="4"/>
        <v>3.9635842365212826</v>
      </c>
      <c r="F55">
        <f t="shared" si="7"/>
        <v>0.70000000000000007</v>
      </c>
      <c r="G55" s="20">
        <v>16.2</v>
      </c>
    </row>
    <row r="56" spans="2:7" x14ac:dyDescent="0.15">
      <c r="B56">
        <f t="shared" si="5"/>
        <v>3.9290584113754279</v>
      </c>
      <c r="C56">
        <f t="shared" si="6"/>
        <v>0.75000000000000011</v>
      </c>
      <c r="D56">
        <v>16</v>
      </c>
      <c r="E56">
        <f t="shared" si="4"/>
        <v>3.9544278979392202</v>
      </c>
      <c r="F56">
        <f t="shared" si="7"/>
        <v>0.75000000000000011</v>
      </c>
      <c r="G56" s="20">
        <v>16.2</v>
      </c>
    </row>
    <row r="57" spans="2:7" x14ac:dyDescent="0.15">
      <c r="B57">
        <f t="shared" si="5"/>
        <v>3.9191835884530848</v>
      </c>
      <c r="C57">
        <f t="shared" si="6"/>
        <v>0.80000000000000016</v>
      </c>
      <c r="D57">
        <v>16</v>
      </c>
      <c r="E57">
        <f t="shared" si="4"/>
        <v>3.944616584663204</v>
      </c>
      <c r="F57">
        <f t="shared" si="7"/>
        <v>0.80000000000000016</v>
      </c>
      <c r="G57" s="20">
        <v>16.2</v>
      </c>
    </row>
    <row r="58" spans="2:7" x14ac:dyDescent="0.15">
      <c r="B58">
        <f t="shared" si="5"/>
        <v>3.9086442662386149</v>
      </c>
      <c r="C58">
        <f t="shared" si="6"/>
        <v>0.8500000000000002</v>
      </c>
      <c r="D58">
        <v>16</v>
      </c>
      <c r="E58">
        <f t="shared" si="4"/>
        <v>3.9341453963980535</v>
      </c>
      <c r="F58">
        <f t="shared" si="7"/>
        <v>0.8500000000000002</v>
      </c>
      <c r="G58" s="20">
        <v>16.2</v>
      </c>
    </row>
    <row r="59" spans="2:7" x14ac:dyDescent="0.15">
      <c r="B59">
        <f t="shared" si="5"/>
        <v>3.8974350539810154</v>
      </c>
      <c r="C59">
        <f t="shared" si="6"/>
        <v>0.90000000000000024</v>
      </c>
      <c r="D59">
        <v>16</v>
      </c>
      <c r="E59">
        <f t="shared" si="4"/>
        <v>3.9230090491866059</v>
      </c>
      <c r="F59">
        <f t="shared" si="7"/>
        <v>0.90000000000000024</v>
      </c>
      <c r="G59" s="20">
        <v>16.2</v>
      </c>
    </row>
    <row r="60" spans="2:7" x14ac:dyDescent="0.15">
      <c r="B60">
        <f t="shared" si="5"/>
        <v>3.8855501540965856</v>
      </c>
      <c r="C60">
        <f t="shared" si="6"/>
        <v>0.95000000000000029</v>
      </c>
      <c r="D60">
        <v>16</v>
      </c>
      <c r="E60">
        <f t="shared" si="4"/>
        <v>3.9112018613208908</v>
      </c>
      <c r="F60">
        <f t="shared" si="7"/>
        <v>0.95000000000000029</v>
      </c>
      <c r="G60" s="20">
        <v>16.2</v>
      </c>
    </row>
    <row r="61" spans="2:7" x14ac:dyDescent="0.15">
      <c r="B61">
        <f t="shared" si="5"/>
        <v>3.872983346207417</v>
      </c>
      <c r="C61">
        <f t="shared" si="6"/>
        <v>1.0000000000000002</v>
      </c>
      <c r="D61">
        <v>16</v>
      </c>
      <c r="E61">
        <f t="shared" si="4"/>
        <v>3.8987177379235853</v>
      </c>
      <c r="F61">
        <f t="shared" si="7"/>
        <v>1.0000000000000002</v>
      </c>
      <c r="G61" s="20">
        <v>16.2</v>
      </c>
    </row>
    <row r="62" spans="2:7" x14ac:dyDescent="0.15">
      <c r="B62">
        <f t="shared" si="5"/>
        <v>3.8597279696890556</v>
      </c>
      <c r="C62">
        <f t="shared" si="6"/>
        <v>1.0500000000000003</v>
      </c>
      <c r="D62">
        <v>16</v>
      </c>
      <c r="E62">
        <f t="shared" si="4"/>
        <v>3.8855501540965856</v>
      </c>
      <c r="F62">
        <f t="shared" si="7"/>
        <v>1.0500000000000003</v>
      </c>
      <c r="G62" s="20">
        <v>16.2</v>
      </c>
    </row>
    <row r="63" spans="2:7" x14ac:dyDescent="0.15">
      <c r="B63">
        <f t="shared" si="5"/>
        <v>3.8457769046058821</v>
      </c>
      <c r="C63">
        <f t="shared" si="6"/>
        <v>1.1000000000000003</v>
      </c>
      <c r="D63">
        <v>16</v>
      </c>
      <c r="E63">
        <f t="shared" si="4"/>
        <v>3.8716921365211876</v>
      </c>
      <c r="F63">
        <f t="shared" si="7"/>
        <v>1.1000000000000003</v>
      </c>
      <c r="G63" s="20">
        <v>16.2</v>
      </c>
    </row>
    <row r="64" spans="2:7" x14ac:dyDescent="0.15">
      <c r="B64">
        <f t="shared" si="5"/>
        <v>3.8311225508981046</v>
      </c>
      <c r="C64">
        <f t="shared" si="6"/>
        <v>1.1500000000000004</v>
      </c>
      <c r="D64">
        <v>16</v>
      </c>
      <c r="E64">
        <f t="shared" si="4"/>
        <v>3.8571362433805727</v>
      </c>
      <c r="F64">
        <f t="shared" si="7"/>
        <v>1.1500000000000004</v>
      </c>
      <c r="G64" s="20">
        <v>16.2</v>
      </c>
    </row>
    <row r="65" spans="2:7" x14ac:dyDescent="0.15">
      <c r="B65">
        <f t="shared" si="5"/>
        <v>3.8157568056677826</v>
      </c>
      <c r="C65">
        <f t="shared" si="6"/>
        <v>1.2000000000000004</v>
      </c>
      <c r="D65">
        <v>16</v>
      </c>
      <c r="E65">
        <f t="shared" si="4"/>
        <v>3.8418745424597089</v>
      </c>
      <c r="F65">
        <f t="shared" si="7"/>
        <v>1.2000000000000004</v>
      </c>
      <c r="G65" s="20">
        <v>16.2</v>
      </c>
    </row>
    <row r="66" spans="2:7" x14ac:dyDescent="0.15">
      <c r="B66">
        <f t="shared" si="5"/>
        <v>3.7996710383926655</v>
      </c>
      <c r="C66">
        <f t="shared" si="6"/>
        <v>1.2500000000000004</v>
      </c>
      <c r="D66">
        <v>16</v>
      </c>
      <c r="E66">
        <f t="shared" si="4"/>
        <v>3.8258985872602529</v>
      </c>
      <c r="F66">
        <f t="shared" si="7"/>
        <v>1.2500000000000004</v>
      </c>
      <c r="G66" s="20">
        <v>16.2</v>
      </c>
    </row>
    <row r="67" spans="2:7" x14ac:dyDescent="0.15">
      <c r="B67">
        <f t="shared" si="5"/>
        <v>3.7828560638755473</v>
      </c>
      <c r="C67">
        <f t="shared" si="6"/>
        <v>1.3000000000000005</v>
      </c>
      <c r="D67">
        <v>16</v>
      </c>
      <c r="E67">
        <f t="shared" si="4"/>
        <v>3.8091993909481818</v>
      </c>
      <c r="F67">
        <f t="shared" si="7"/>
        <v>1.3000000000000005</v>
      </c>
      <c r="G67" s="20">
        <v>16.2</v>
      </c>
    </row>
    <row r="68" spans="2:7" x14ac:dyDescent="0.15">
      <c r="B68">
        <f t="shared" si="5"/>
        <v>3.7653021127128694</v>
      </c>
      <c r="C68">
        <f t="shared" si="6"/>
        <v>1.3500000000000005</v>
      </c>
      <c r="D68">
        <v>16</v>
      </c>
      <c r="E68">
        <f t="shared" si="4"/>
        <v>3.7917673979293611</v>
      </c>
      <c r="F68">
        <f t="shared" si="7"/>
        <v>1.3500000000000005</v>
      </c>
      <c r="G68" s="20">
        <v>16.2</v>
      </c>
    </row>
    <row r="69" spans="2:7" x14ac:dyDescent="0.15">
      <c r="B69">
        <f t="shared" si="5"/>
        <v>3.746998799039039</v>
      </c>
      <c r="C69">
        <f t="shared" si="6"/>
        <v>1.4000000000000006</v>
      </c>
      <c r="D69">
        <v>16</v>
      </c>
      <c r="E69">
        <f t="shared" si="4"/>
        <v>3.7735924528226414</v>
      </c>
      <c r="F69">
        <f t="shared" si="7"/>
        <v>1.4000000000000006</v>
      </c>
      <c r="G69" s="20">
        <v>16.2</v>
      </c>
    </row>
    <row r="70" spans="2:7" x14ac:dyDescent="0.15">
      <c r="B70">
        <f t="shared" si="5"/>
        <v>3.7279350852717377</v>
      </c>
      <c r="C70">
        <f t="shared" si="6"/>
        <v>1.4500000000000006</v>
      </c>
      <c r="D70">
        <v>16</v>
      </c>
      <c r="E70">
        <f t="shared" si="4"/>
        <v>3.7546637665708493</v>
      </c>
      <c r="F70">
        <f t="shared" si="7"/>
        <v>1.4500000000000006</v>
      </c>
      <c r="G70" s="20">
        <v>16.2</v>
      </c>
    </row>
    <row r="71" spans="2:7" x14ac:dyDescent="0.15">
      <c r="B71">
        <f t="shared" si="5"/>
        <v>3.708099243547831</v>
      </c>
      <c r="C71">
        <f t="shared" si="6"/>
        <v>1.5000000000000007</v>
      </c>
      <c r="D71">
        <v>16</v>
      </c>
      <c r="E71">
        <f t="shared" si="4"/>
        <v>3.7349698793966195</v>
      </c>
      <c r="F71">
        <f t="shared" si="7"/>
        <v>1.5000000000000007</v>
      </c>
      <c r="G71" s="20">
        <v>16.2</v>
      </c>
    </row>
    <row r="72" spans="2:7" x14ac:dyDescent="0.15">
      <c r="B72">
        <f t="shared" si="5"/>
        <v>3.6874788134984584</v>
      </c>
      <c r="C72">
        <f t="shared" si="6"/>
        <v>1.5500000000000007</v>
      </c>
      <c r="D72">
        <v>16</v>
      </c>
      <c r="E72">
        <f t="shared" si="4"/>
        <v>3.7144986202716508</v>
      </c>
      <c r="F72">
        <f t="shared" si="7"/>
        <v>1.5500000000000007</v>
      </c>
      <c r="G72" s="20">
        <v>16.2</v>
      </c>
    </row>
    <row r="73" spans="2:7" x14ac:dyDescent="0.15">
      <c r="B73">
        <f t="shared" si="5"/>
        <v>3.6660605559646715</v>
      </c>
      <c r="C73">
        <f t="shared" si="6"/>
        <v>1.6000000000000008</v>
      </c>
      <c r="D73">
        <v>16</v>
      </c>
      <c r="E73">
        <f t="shared" si="4"/>
        <v>3.6932370625238771</v>
      </c>
      <c r="F73">
        <f t="shared" si="7"/>
        <v>1.6000000000000008</v>
      </c>
      <c r="G73" s="20">
        <v>16.2</v>
      </c>
    </row>
    <row r="74" spans="2:7" x14ac:dyDescent="0.15">
      <c r="B74">
        <f t="shared" si="5"/>
        <v>3.6438304022004093</v>
      </c>
      <c r="C74">
        <f t="shared" si="6"/>
        <v>1.6500000000000008</v>
      </c>
      <c r="D74">
        <v>16</v>
      </c>
      <c r="E74">
        <f t="shared" si="4"/>
        <v>3.6711714751561244</v>
      </c>
      <c r="F74">
        <f t="shared" si="7"/>
        <v>1.6500000000000008</v>
      </c>
      <c r="G74" s="20">
        <v>16.2</v>
      </c>
    </row>
    <row r="75" spans="2:7" x14ac:dyDescent="0.15">
      <c r="B75">
        <f t="shared" si="5"/>
        <v>3.6207733980463344</v>
      </c>
      <c r="C75">
        <f t="shared" si="6"/>
        <v>1.7000000000000008</v>
      </c>
      <c r="D75">
        <v>16</v>
      </c>
      <c r="E75">
        <f t="shared" si="4"/>
        <v>3.6482872693909396</v>
      </c>
      <c r="F75">
        <f t="shared" si="7"/>
        <v>1.7000000000000008</v>
      </c>
      <c r="G75" s="20">
        <v>16.2</v>
      </c>
    </row>
    <row r="76" spans="2:7" x14ac:dyDescent="0.15">
      <c r="B76">
        <f t="shared" si="5"/>
        <v>3.5968736424845393</v>
      </c>
      <c r="C76">
        <f t="shared" si="6"/>
        <v>1.7500000000000009</v>
      </c>
      <c r="D76">
        <v>16</v>
      </c>
      <c r="E76">
        <f t="shared" si="4"/>
        <v>3.6245689398878862</v>
      </c>
      <c r="F76">
        <f t="shared" si="7"/>
        <v>1.7500000000000009</v>
      </c>
      <c r="G76" s="20">
        <v>16.2</v>
      </c>
    </row>
    <row r="77" spans="2:7" x14ac:dyDescent="0.15">
      <c r="B77">
        <f t="shared" si="5"/>
        <v>3.5721142198983498</v>
      </c>
      <c r="C77">
        <f t="shared" si="6"/>
        <v>1.8000000000000009</v>
      </c>
      <c r="D77">
        <v>16</v>
      </c>
      <c r="E77">
        <f t="shared" si="4"/>
        <v>3.5999999999999992</v>
      </c>
      <c r="F77">
        <f t="shared" si="7"/>
        <v>1.8000000000000009</v>
      </c>
      <c r="G77" s="20">
        <v>16.2</v>
      </c>
    </row>
    <row r="78" spans="2:7" x14ac:dyDescent="0.15">
      <c r="B78">
        <f t="shared" si="5"/>
        <v>3.5464771252610663</v>
      </c>
      <c r="C78">
        <f t="shared" si="6"/>
        <v>1.850000000000001</v>
      </c>
      <c r="D78">
        <v>16</v>
      </c>
      <c r="E78">
        <f t="shared" si="4"/>
        <v>3.5745629103430248</v>
      </c>
      <c r="F78">
        <f t="shared" si="7"/>
        <v>1.850000000000001</v>
      </c>
      <c r="G78" s="20">
        <v>16.2</v>
      </c>
    </row>
    <row r="79" spans="2:7" x14ac:dyDescent="0.15">
      <c r="B79">
        <f t="shared" si="5"/>
        <v>3.5199431813596078</v>
      </c>
      <c r="C79">
        <f t="shared" si="6"/>
        <v>1.900000000000001</v>
      </c>
      <c r="D79">
        <v>16</v>
      </c>
      <c r="E79">
        <f t="shared" si="4"/>
        <v>3.5482389998420336</v>
      </c>
      <c r="F79">
        <f t="shared" si="7"/>
        <v>1.900000000000001</v>
      </c>
      <c r="G79" s="20">
        <v>16.2</v>
      </c>
    </row>
    <row r="81" spans="3:3" x14ac:dyDescent="0.15">
      <c r="C81" t="s">
        <v>512</v>
      </c>
    </row>
  </sheetData>
  <phoneticPr fontId="0" type="noConversion"/>
  <pageMargins left="0.75" right="0.75" top="1" bottom="1" header="0.5" footer="0.5"/>
  <headerFooter alignWithMargins="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763F9DC7EEB54EBDABE25A81D70737" ma:contentTypeVersion="15" ma:contentTypeDescription="Create a new document." ma:contentTypeScope="" ma:versionID="9538448746bb376bea402a23861b35b2">
  <xsd:schema xmlns:xsd="http://www.w3.org/2001/XMLSchema" xmlns:xs="http://www.w3.org/2001/XMLSchema" xmlns:p="http://schemas.microsoft.com/office/2006/metadata/properties" xmlns:ns2="5b9fc170-522f-4f14-b8b6-4e4d2279a979" xmlns:ns3="6274dd28-d474-4227-be11-7364893f6029" targetNamespace="http://schemas.microsoft.com/office/2006/metadata/properties" ma:root="true" ma:fieldsID="61a64bb1f2d3001ca52115e1cab6b9d1" ns2:_="" ns3:_="">
    <xsd:import namespace="5b9fc170-522f-4f14-b8b6-4e4d2279a979"/>
    <xsd:import namespace="6274dd28-d474-4227-be11-7364893f602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9fc170-522f-4f14-b8b6-4e4d2279a9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04022ad-ef34-4d1e-9200-18c9974f960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74dd28-d474-4227-be11-7364893f602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441e85e-9bd1-48a4-8542-5c9765fd172f}" ma:internalName="TaxCatchAll" ma:showField="CatchAllData" ma:web="6274dd28-d474-4227-be11-7364893f60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5b9fc170-522f-4f14-b8b6-4e4d2279a979" xsi:nil="true"/>
    <lcf76f155ced4ddcb4097134ff3c332f xmlns="5b9fc170-522f-4f14-b8b6-4e4d2279a979">
      <Terms xmlns="http://schemas.microsoft.com/office/infopath/2007/PartnerControls"/>
    </lcf76f155ced4ddcb4097134ff3c332f>
    <TaxCatchAll xmlns="6274dd28-d474-4227-be11-7364893f6029" xsi:nil="true"/>
  </documentManagement>
</p:properties>
</file>

<file path=customXml/itemProps1.xml><?xml version="1.0" encoding="utf-8"?>
<ds:datastoreItem xmlns:ds="http://schemas.openxmlformats.org/officeDocument/2006/customXml" ds:itemID="{CE537CD2-A839-48B9-92C0-546FBA1CADEC}">
  <ds:schemaRefs>
    <ds:schemaRef ds:uri="http://schemas.microsoft.com/sharepoint/v3/contenttype/forms"/>
  </ds:schemaRefs>
</ds:datastoreItem>
</file>

<file path=customXml/itemProps2.xml><?xml version="1.0" encoding="utf-8"?>
<ds:datastoreItem xmlns:ds="http://schemas.openxmlformats.org/officeDocument/2006/customXml" ds:itemID="{D5CB419A-750B-4DA4-83EC-8B44FE52E9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9fc170-522f-4f14-b8b6-4e4d2279a979"/>
    <ds:schemaRef ds:uri="6274dd28-d474-4227-be11-7364893f60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BA7AEA-AB48-4278-B6E3-27232397A1CF}">
  <ds:schemaRefs>
    <ds:schemaRef ds:uri="http://www.w3.org/XML/1998/namespace"/>
    <ds:schemaRef ds:uri="http://schemas.microsoft.com/office/2006/metadata/properties"/>
    <ds:schemaRef ds:uri="http://purl.org/dc/dcmitype/"/>
    <ds:schemaRef ds:uri="http://purl.org/dc/terms/"/>
    <ds:schemaRef ds:uri="6274dd28-d474-4227-be11-7364893f6029"/>
    <ds:schemaRef ds:uri="5b9fc170-522f-4f14-b8b6-4e4d2279a979"/>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Title Page</vt:lpstr>
      <vt:lpstr>I.I.R.R.</vt:lpstr>
      <vt:lpstr>Orbit</vt:lpstr>
      <vt:lpstr>Frequency</vt:lpstr>
      <vt:lpstr>Transmitters</vt:lpstr>
      <vt:lpstr>Receivers</vt:lpstr>
      <vt:lpstr>Antenna Gain</vt:lpstr>
      <vt:lpstr>Antenna Pointing Losses</vt:lpstr>
      <vt:lpstr>Antenna Polarization Loss</vt:lpstr>
      <vt:lpstr>Atmos. &amp; Ionos. Losses</vt:lpstr>
      <vt:lpstr>Modulation-Demodulation Method</vt:lpstr>
      <vt:lpstr>Uplink Budget</vt:lpstr>
      <vt:lpstr>Downlink Budget</vt:lpstr>
      <vt:lpstr>System Peformance Summary</vt:lpstr>
      <vt:lpstr>Antenna Patterns</vt:lpstr>
      <vt:lpstr>Beam Roll-Off Tool</vt:lpstr>
      <vt:lpstr>Beam Roll-Off Plot</vt:lpstr>
      <vt:lpstr>Line Loss Tools &amp; Tables</vt:lpstr>
      <vt:lpstr>VSWR Loss Tool</vt:lpstr>
      <vt:lpstr>GEO Azimuth Calc Data</vt:lpstr>
      <vt:lpstr>Orbit Shape Data</vt:lpstr>
      <vt:lpstr>r_1</vt:lpstr>
      <vt:lpstr>r_2</vt:lpstr>
      <vt:lpstr>theta</vt:lpstr>
    </vt:vector>
  </TitlesOfParts>
  <Company>BlastOff!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jking</dc:creator>
  <cp:lastModifiedBy>Sanj Mehta</cp:lastModifiedBy>
  <cp:lastPrinted>2006-10-22T18:34:31Z</cp:lastPrinted>
  <dcterms:created xsi:type="dcterms:W3CDTF">2003-03-25T04:05:57Z</dcterms:created>
  <dcterms:modified xsi:type="dcterms:W3CDTF">2025-04-23T00:11:12Z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0x0101007B763F9DC7EEB54EBDABE25A81D70737</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MediaServiceImageTags">
    <vt:lpwstr/>
  </property>
</Properties>
</file>